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C:\Users\Nikita\Desktop\Прайс\Ошибки в прайсе после утверждения\"/>
    </mc:Choice>
  </mc:AlternateContent>
  <bookViews>
    <workbookView xWindow="0" yWindow="0" windowWidth="20490" windowHeight="9045" tabRatio="794" activeTab="6"/>
  </bookViews>
  <sheets>
    <sheet name="Diamond ACS" sheetId="1" r:id="rId1"/>
    <sheet name="Diamond VPN FW - UTM" sheetId="5" r:id="rId2"/>
    <sheet name="Diamond VPN FW - VPN" sheetId="3" r:id="rId3"/>
    <sheet name="Diamond VPN FW - FW" sheetId="4" r:id="rId4"/>
    <sheet name="Diamond VPN FW - IDS" sheetId="2" r:id="rId5"/>
    <sheet name="Diamond NCC" sheetId="13" r:id="rId6"/>
    <sheet name="Dcrypt" sheetId="12" r:id="rId7"/>
    <sheet name="Модули расширений" sheetId="11" r:id="rId8"/>
    <sheet name="Базы IDS" sheetId="7" r:id="rId9"/>
    <sheet name="Услуги" sheetId="8" r:id="rId10"/>
  </sheets>
  <externalReferences>
    <externalReference r:id="rId11"/>
    <externalReference r:id="rId12"/>
    <externalReference r:id="rId1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3" i="12" l="1"/>
  <c r="C116" i="2" l="1"/>
  <c r="C109" i="2"/>
  <c r="C102" i="2"/>
  <c r="C95" i="2"/>
  <c r="C88" i="2"/>
  <c r="C81" i="2"/>
  <c r="C74" i="2"/>
  <c r="C67" i="2"/>
  <c r="C60" i="2"/>
  <c r="C53" i="2"/>
  <c r="C46" i="2"/>
  <c r="C39" i="2"/>
  <c r="C32" i="2"/>
  <c r="C25" i="2"/>
  <c r="C18" i="2"/>
  <c r="B13" i="4"/>
  <c r="B12" i="4"/>
  <c r="B11" i="4"/>
  <c r="C120" i="4"/>
  <c r="C113" i="4"/>
  <c r="C106" i="4"/>
  <c r="C99" i="4"/>
  <c r="C92" i="4"/>
  <c r="C85" i="4"/>
  <c r="C78" i="4"/>
  <c r="C71" i="4"/>
  <c r="C57" i="4"/>
  <c r="C50" i="4"/>
  <c r="C43" i="4"/>
  <c r="C36" i="4"/>
  <c r="C29" i="4"/>
  <c r="C22" i="4"/>
  <c r="C15" i="4"/>
  <c r="C133" i="3"/>
  <c r="C126" i="3"/>
  <c r="C119" i="3"/>
  <c r="C112" i="3"/>
  <c r="C105" i="3"/>
  <c r="C77" i="3"/>
  <c r="C70" i="3"/>
  <c r="C63" i="3"/>
  <c r="C56" i="3"/>
  <c r="C49" i="3"/>
  <c r="C42" i="3"/>
  <c r="C35" i="3"/>
  <c r="B13" i="3"/>
  <c r="B12" i="3"/>
  <c r="B11" i="3"/>
  <c r="B13" i="5" l="1"/>
  <c r="B12" i="5"/>
  <c r="B11" i="5"/>
  <c r="B14" i="13" l="1"/>
  <c r="B15" i="13"/>
  <c r="B16" i="13"/>
  <c r="B21" i="13"/>
  <c r="B22" i="13"/>
  <c r="B23" i="13"/>
  <c r="B28" i="13"/>
  <c r="B29" i="13"/>
  <c r="B30" i="13"/>
  <c r="B35" i="13"/>
  <c r="B36" i="13"/>
  <c r="B37" i="13"/>
  <c r="B42" i="13"/>
  <c r="B43" i="13"/>
  <c r="B44" i="13"/>
  <c r="B49" i="13"/>
  <c r="B50" i="13"/>
  <c r="B51" i="13"/>
  <c r="B56" i="13"/>
  <c r="B57" i="13"/>
  <c r="B58" i="13"/>
  <c r="B63" i="13"/>
  <c r="B64" i="13"/>
  <c r="B65" i="13"/>
  <c r="B82" i="11" l="1"/>
  <c r="B81" i="11"/>
  <c r="D80" i="11"/>
  <c r="D82" i="11" s="1"/>
  <c r="B80" i="11"/>
  <c r="D74" i="11"/>
  <c r="D73" i="11"/>
  <c r="D72" i="11"/>
  <c r="D71" i="11"/>
  <c r="D70" i="11"/>
  <c r="D69" i="11"/>
  <c r="D81" i="11" l="1"/>
  <c r="D117" i="12"/>
  <c r="D46" i="5" l="1"/>
  <c r="D112" i="3" l="1"/>
  <c r="D92" i="5"/>
  <c r="A7" i="3" l="1"/>
  <c r="D86" i="4" l="1"/>
  <c r="D79" i="4"/>
  <c r="D72" i="4"/>
  <c r="G143" i="1"/>
  <c r="G142" i="1"/>
  <c r="F143" i="1"/>
  <c r="F142" i="1"/>
  <c r="D65" i="4" l="1"/>
  <c r="B86" i="2"/>
  <c r="B85" i="2"/>
  <c r="B84" i="2"/>
  <c r="B77" i="2"/>
  <c r="B79" i="2"/>
  <c r="B78" i="2"/>
  <c r="B70" i="2"/>
  <c r="B72" i="2"/>
  <c r="B71" i="2"/>
  <c r="D82" i="2"/>
  <c r="E82" i="2" s="1"/>
  <c r="G81" i="2"/>
  <c r="D81" i="2"/>
  <c r="D83" i="2" s="1"/>
  <c r="D75" i="2"/>
  <c r="E75" i="2" s="1"/>
  <c r="G74" i="2"/>
  <c r="D74" i="2"/>
  <c r="D76" i="2" s="1"/>
  <c r="E68" i="2"/>
  <c r="D68" i="2"/>
  <c r="G67" i="2"/>
  <c r="D67" i="2"/>
  <c r="D69" i="2" s="1"/>
  <c r="B90" i="4"/>
  <c r="B89" i="4"/>
  <c r="B88" i="4"/>
  <c r="B81" i="4"/>
  <c r="B83" i="4"/>
  <c r="B82" i="4"/>
  <c r="B76" i="4"/>
  <c r="B75" i="4"/>
  <c r="B74" i="4"/>
  <c r="D84" i="2" l="1"/>
  <c r="D70" i="2"/>
  <c r="E67" i="2"/>
  <c r="D77" i="2"/>
  <c r="E74" i="2"/>
  <c r="E81" i="2"/>
  <c r="E84" i="2" l="1"/>
  <c r="E83" i="2"/>
  <c r="D71" i="2"/>
  <c r="D72" i="2"/>
  <c r="E76" i="2"/>
  <c r="E77" i="2"/>
  <c r="D86" i="2"/>
  <c r="D85" i="2"/>
  <c r="D79" i="2"/>
  <c r="D78" i="2"/>
  <c r="E69" i="2"/>
  <c r="E70" i="2"/>
  <c r="E78" i="2" l="1"/>
  <c r="E79" i="2"/>
  <c r="E86" i="2"/>
  <c r="E85" i="2"/>
  <c r="E72" i="2"/>
  <c r="E71" i="2"/>
  <c r="G85" i="4" l="1"/>
  <c r="G78" i="4"/>
  <c r="E86" i="4"/>
  <c r="D85" i="4"/>
  <c r="D88" i="4" s="1"/>
  <c r="D78" i="4"/>
  <c r="E79" i="4"/>
  <c r="G71" i="4"/>
  <c r="E72" i="4"/>
  <c r="D71" i="4"/>
  <c r="E71" i="4" s="1"/>
  <c r="D81" i="4" l="1"/>
  <c r="D80" i="4"/>
  <c r="D90" i="4"/>
  <c r="D89" i="4"/>
  <c r="D87" i="4"/>
  <c r="E85" i="4"/>
  <c r="D83" i="4"/>
  <c r="D82" i="4"/>
  <c r="E78" i="4"/>
  <c r="E80" i="4" s="1"/>
  <c r="E74" i="4"/>
  <c r="E73" i="4"/>
  <c r="D73" i="4"/>
  <c r="D74" i="4"/>
  <c r="D61" i="13"/>
  <c r="D63" i="13" s="1"/>
  <c r="E60" i="13"/>
  <c r="D60" i="13"/>
  <c r="D62" i="13" s="1"/>
  <c r="D47" i="13"/>
  <c r="D49" i="13" s="1"/>
  <c r="E46" i="13"/>
  <c r="D46" i="13"/>
  <c r="D48" i="13" s="1"/>
  <c r="D33" i="13"/>
  <c r="D32" i="13"/>
  <c r="E33" i="13"/>
  <c r="E32" i="13"/>
  <c r="E35" i="13" s="1"/>
  <c r="D34" i="13"/>
  <c r="D19" i="13"/>
  <c r="D21" i="13"/>
  <c r="D22" i="13" s="1"/>
  <c r="D20" i="13"/>
  <c r="E19" i="13"/>
  <c r="E18" i="13"/>
  <c r="E20" i="13" s="1"/>
  <c r="B94" i="3"/>
  <c r="D85" i="3"/>
  <c r="D22" i="5"/>
  <c r="D25" i="5" s="1"/>
  <c r="B103" i="3"/>
  <c r="B102" i="3"/>
  <c r="B96" i="3"/>
  <c r="B89" i="3"/>
  <c r="B95" i="3"/>
  <c r="B88" i="3"/>
  <c r="B101" i="3"/>
  <c r="B87" i="3"/>
  <c r="B80" i="3"/>
  <c r="B90" i="5"/>
  <c r="B89" i="5"/>
  <c r="B88" i="5"/>
  <c r="B83" i="5"/>
  <c r="B82" i="5"/>
  <c r="B81" i="5"/>
  <c r="B76" i="5"/>
  <c r="B75" i="5"/>
  <c r="B74" i="5"/>
  <c r="B19" i="3"/>
  <c r="B20" i="3"/>
  <c r="B21" i="3"/>
  <c r="B24" i="3"/>
  <c r="B25" i="3"/>
  <c r="B26" i="3"/>
  <c r="E81" i="4" l="1"/>
  <c r="E83" i="4" s="1"/>
  <c r="E88" i="4"/>
  <c r="E87" i="4"/>
  <c r="E82" i="4"/>
  <c r="D76" i="4"/>
  <c r="D75" i="4"/>
  <c r="E76" i="4"/>
  <c r="E75" i="4"/>
  <c r="D64" i="13"/>
  <c r="D65" i="13"/>
  <c r="E61" i="13"/>
  <c r="E62" i="13" s="1"/>
  <c r="E48" i="13"/>
  <c r="D50" i="13"/>
  <c r="D51" i="13"/>
  <c r="E47" i="13"/>
  <c r="E49" i="13"/>
  <c r="E36" i="13"/>
  <c r="E37" i="13"/>
  <c r="E34" i="13"/>
  <c r="D35" i="13"/>
  <c r="E21" i="13"/>
  <c r="E23" i="13" s="1"/>
  <c r="E22" i="13"/>
  <c r="D23" i="13"/>
  <c r="E90" i="4" l="1"/>
  <c r="E89" i="4"/>
  <c r="E63" i="13"/>
  <c r="E51" i="13"/>
  <c r="E50" i="13"/>
  <c r="D37" i="13"/>
  <c r="D36" i="13"/>
  <c r="E64" i="13" l="1"/>
  <c r="E65" i="13"/>
  <c r="D190" i="12" l="1"/>
  <c r="D184" i="12"/>
  <c r="D180" i="12"/>
  <c r="D175" i="12"/>
  <c r="D171" i="12"/>
  <c r="D166" i="12"/>
  <c r="D162" i="12"/>
  <c r="D156" i="12"/>
  <c r="D151" i="12"/>
  <c r="D147" i="12"/>
  <c r="D143" i="12"/>
  <c r="D139" i="12"/>
  <c r="D134" i="12"/>
  <c r="D130" i="12"/>
  <c r="D126" i="12"/>
  <c r="D122" i="12"/>
  <c r="D113" i="12"/>
  <c r="D107" i="12"/>
  <c r="D102" i="12"/>
  <c r="D98" i="12"/>
  <c r="D94" i="12"/>
  <c r="D89" i="12"/>
  <c r="D85" i="12"/>
  <c r="D81" i="12"/>
  <c r="D76" i="12"/>
  <c r="D72" i="12"/>
  <c r="D68" i="12"/>
  <c r="D62" i="12"/>
  <c r="D58" i="12"/>
  <c r="D53" i="12"/>
  <c r="D49" i="12"/>
  <c r="D44" i="12"/>
  <c r="D40" i="12"/>
  <c r="D34" i="12"/>
  <c r="D30" i="12"/>
  <c r="D25" i="12"/>
  <c r="D21" i="12"/>
  <c r="D16" i="12"/>
  <c r="D12" i="12"/>
  <c r="B32" i="5" l="1"/>
  <c r="B30" i="1" l="1"/>
  <c r="B14" i="1"/>
  <c r="B12" i="1"/>
  <c r="D99" i="3" l="1"/>
  <c r="E99" i="3" s="1"/>
  <c r="G98" i="3"/>
  <c r="D98" i="3"/>
  <c r="D100" i="3" s="1"/>
  <c r="D92" i="3"/>
  <c r="E92" i="3" s="1"/>
  <c r="G91" i="3"/>
  <c r="D91" i="3"/>
  <c r="D93" i="3" s="1"/>
  <c r="E85" i="3"/>
  <c r="G84" i="3"/>
  <c r="D84" i="3"/>
  <c r="D86" i="3" s="1"/>
  <c r="D85" i="5"/>
  <c r="E85" i="5" s="1"/>
  <c r="D78" i="5"/>
  <c r="E71" i="5"/>
  <c r="E74" i="5" s="1"/>
  <c r="D80" i="5"/>
  <c r="D86" i="5"/>
  <c r="E86" i="5"/>
  <c r="D79" i="5"/>
  <c r="E78" i="5"/>
  <c r="D72" i="5"/>
  <c r="E72" i="5" s="1"/>
  <c r="D73" i="5"/>
  <c r="D87" i="3" l="1"/>
  <c r="E84" i="3"/>
  <c r="D94" i="3"/>
  <c r="E91" i="3"/>
  <c r="D101" i="3"/>
  <c r="E98" i="3"/>
  <c r="D81" i="5"/>
  <c r="D83" i="5" s="1"/>
  <c r="D88" i="5"/>
  <c r="D89" i="5" s="1"/>
  <c r="E87" i="5"/>
  <c r="E88" i="5"/>
  <c r="E75" i="5"/>
  <c r="E76" i="5"/>
  <c r="E79" i="5"/>
  <c r="E80" i="5" s="1"/>
  <c r="D87" i="5"/>
  <c r="D74" i="5"/>
  <c r="E73" i="5"/>
  <c r="B81" i="1"/>
  <c r="B139" i="1"/>
  <c r="B138" i="1"/>
  <c r="B137" i="1"/>
  <c r="B135" i="1"/>
  <c r="B134" i="1"/>
  <c r="B133" i="1"/>
  <c r="B130" i="1"/>
  <c r="B129" i="1"/>
  <c r="B128" i="1"/>
  <c r="B126" i="1"/>
  <c r="B125" i="1"/>
  <c r="B124" i="1"/>
  <c r="B122" i="1"/>
  <c r="B121" i="1"/>
  <c r="B120" i="1"/>
  <c r="B118" i="1"/>
  <c r="B117" i="1"/>
  <c r="B116" i="1"/>
  <c r="B114" i="1"/>
  <c r="B113" i="1"/>
  <c r="B112" i="1"/>
  <c r="B110" i="1"/>
  <c r="B109" i="1"/>
  <c r="B108" i="1"/>
  <c r="B105" i="1"/>
  <c r="B104" i="1"/>
  <c r="B103" i="1"/>
  <c r="B101" i="1"/>
  <c r="B100" i="1"/>
  <c r="B98" i="1"/>
  <c r="B95" i="1"/>
  <c r="B94" i="1"/>
  <c r="B93" i="1"/>
  <c r="B91" i="1"/>
  <c r="B90" i="1"/>
  <c r="B88" i="1"/>
  <c r="B85" i="1"/>
  <c r="B84" i="1"/>
  <c r="B83" i="1"/>
  <c r="B80" i="1"/>
  <c r="B78" i="1"/>
  <c r="B75" i="1"/>
  <c r="B74" i="1"/>
  <c r="B73" i="1"/>
  <c r="B71" i="1"/>
  <c r="B70" i="1"/>
  <c r="B69" i="1"/>
  <c r="B67" i="1"/>
  <c r="B66" i="1"/>
  <c r="B65" i="1"/>
  <c r="B63" i="1"/>
  <c r="B62" i="1"/>
  <c r="B61" i="1"/>
  <c r="B59" i="1"/>
  <c r="B58" i="1"/>
  <c r="B56" i="1"/>
  <c r="B55" i="1"/>
  <c r="B53" i="1"/>
  <c r="B52" i="1"/>
  <c r="B50" i="1"/>
  <c r="B49" i="1"/>
  <c r="B47" i="1"/>
  <c r="B45" i="1"/>
  <c r="B43" i="1"/>
  <c r="B41" i="1"/>
  <c r="B37" i="1"/>
  <c r="B36" i="1"/>
  <c r="B35" i="1"/>
  <c r="B33" i="1"/>
  <c r="B32" i="1"/>
  <c r="B28" i="1"/>
  <c r="B27" i="1"/>
  <c r="B26" i="1"/>
  <c r="B24" i="1"/>
  <c r="B23" i="1"/>
  <c r="B22" i="1"/>
  <c r="B20" i="1"/>
  <c r="B19" i="1"/>
  <c r="B17" i="1"/>
  <c r="B16" i="1"/>
  <c r="E100" i="3" l="1"/>
  <c r="E101" i="3"/>
  <c r="E86" i="3"/>
  <c r="E87" i="3"/>
  <c r="D102" i="3"/>
  <c r="D103" i="3"/>
  <c r="D88" i="3"/>
  <c r="D89" i="3"/>
  <c r="E93" i="3"/>
  <c r="E94" i="3"/>
  <c r="D96" i="3"/>
  <c r="D95" i="3"/>
  <c r="D82" i="5"/>
  <c r="D90" i="5"/>
  <c r="E81" i="5"/>
  <c r="D76" i="5"/>
  <c r="D75" i="5"/>
  <c r="E90" i="5"/>
  <c r="E89" i="5"/>
  <c r="D16" i="5"/>
  <c r="E15" i="5"/>
  <c r="B125" i="5"/>
  <c r="B124" i="5"/>
  <c r="B123" i="5"/>
  <c r="B118" i="5"/>
  <c r="B117" i="5"/>
  <c r="B116" i="5"/>
  <c r="B111" i="5"/>
  <c r="B110" i="5"/>
  <c r="B109" i="5"/>
  <c r="B104" i="5"/>
  <c r="B103" i="5"/>
  <c r="B102" i="5"/>
  <c r="B97" i="5"/>
  <c r="B96" i="5"/>
  <c r="B95" i="5"/>
  <c r="B69" i="5"/>
  <c r="B68" i="5"/>
  <c r="B67" i="5"/>
  <c r="B62" i="5"/>
  <c r="B61" i="5"/>
  <c r="B60" i="5"/>
  <c r="B55" i="5"/>
  <c r="B54" i="5"/>
  <c r="B53" i="5"/>
  <c r="B48" i="5"/>
  <c r="B47" i="5"/>
  <c r="B46" i="5"/>
  <c r="B41" i="5"/>
  <c r="B40" i="5"/>
  <c r="B39" i="5"/>
  <c r="B34" i="5"/>
  <c r="B33" i="5"/>
  <c r="B27" i="5"/>
  <c r="B26" i="5"/>
  <c r="B25" i="5"/>
  <c r="G112" i="3"/>
  <c r="B138" i="3"/>
  <c r="B137" i="3"/>
  <c r="B136" i="3"/>
  <c r="B131" i="3"/>
  <c r="B130" i="3"/>
  <c r="B129" i="3"/>
  <c r="B124" i="3"/>
  <c r="B123" i="3"/>
  <c r="B122" i="3"/>
  <c r="B117" i="3"/>
  <c r="B116" i="3"/>
  <c r="B115" i="3"/>
  <c r="B110" i="3"/>
  <c r="B109" i="3"/>
  <c r="B108" i="3"/>
  <c r="B82" i="3"/>
  <c r="B81" i="3"/>
  <c r="B75" i="3"/>
  <c r="B74" i="3"/>
  <c r="B73" i="3"/>
  <c r="B68" i="3"/>
  <c r="B67" i="3"/>
  <c r="B66" i="3"/>
  <c r="B61" i="3"/>
  <c r="B60" i="3"/>
  <c r="B59" i="3"/>
  <c r="B54" i="3"/>
  <c r="B53" i="3"/>
  <c r="B52" i="3"/>
  <c r="B47" i="3"/>
  <c r="B46" i="3"/>
  <c r="B45" i="3"/>
  <c r="B40" i="3"/>
  <c r="B39" i="3"/>
  <c r="B38" i="3"/>
  <c r="B33" i="3"/>
  <c r="B32" i="3"/>
  <c r="B31" i="3"/>
  <c r="B18" i="4"/>
  <c r="B125" i="4"/>
  <c r="B124" i="4"/>
  <c r="B123" i="4"/>
  <c r="B118" i="4"/>
  <c r="B117" i="4"/>
  <c r="B116" i="4"/>
  <c r="B111" i="4"/>
  <c r="B110" i="4"/>
  <c r="B109" i="4"/>
  <c r="B104" i="4"/>
  <c r="B103" i="4"/>
  <c r="B102" i="4"/>
  <c r="B97" i="4"/>
  <c r="B96" i="4"/>
  <c r="B95" i="4"/>
  <c r="B69" i="4"/>
  <c r="B68" i="4"/>
  <c r="B67" i="4"/>
  <c r="B62" i="4"/>
  <c r="B61" i="4"/>
  <c r="B60" i="4"/>
  <c r="B55" i="4"/>
  <c r="B54" i="4"/>
  <c r="B53" i="4"/>
  <c r="B48" i="4"/>
  <c r="B47" i="4"/>
  <c r="B46" i="4"/>
  <c r="B41" i="4"/>
  <c r="B40" i="4"/>
  <c r="B39" i="4"/>
  <c r="B34" i="4"/>
  <c r="B33" i="4"/>
  <c r="B32" i="4"/>
  <c r="B27" i="4"/>
  <c r="B26" i="4"/>
  <c r="B25" i="4"/>
  <c r="B20" i="4"/>
  <c r="B19" i="4"/>
  <c r="G46" i="2"/>
  <c r="B107" i="2"/>
  <c r="B106" i="2"/>
  <c r="B105" i="2"/>
  <c r="G25" i="2"/>
  <c r="G39" i="2"/>
  <c r="E96" i="3" l="1"/>
  <c r="E95" i="3"/>
  <c r="E103" i="3"/>
  <c r="E102" i="3"/>
  <c r="E89" i="3"/>
  <c r="E88" i="3"/>
  <c r="E83" i="5"/>
  <c r="E82" i="5"/>
  <c r="E16" i="5"/>
  <c r="B121" i="2"/>
  <c r="B120" i="2"/>
  <c r="B119" i="2"/>
  <c r="B114" i="2"/>
  <c r="B113" i="2"/>
  <c r="B112" i="2"/>
  <c r="B100" i="2"/>
  <c r="B99" i="2"/>
  <c r="B98" i="2"/>
  <c r="B93" i="2"/>
  <c r="B92" i="2"/>
  <c r="B91" i="2"/>
  <c r="B65" i="2"/>
  <c r="B64" i="2"/>
  <c r="B63" i="2"/>
  <c r="B58" i="2"/>
  <c r="B57" i="2"/>
  <c r="B56" i="2"/>
  <c r="B51" i="2"/>
  <c r="B50" i="2"/>
  <c r="B49" i="2"/>
  <c r="B44" i="2"/>
  <c r="B43" i="2"/>
  <c r="B42" i="2"/>
  <c r="B37" i="2"/>
  <c r="B36" i="2"/>
  <c r="B35" i="2"/>
  <c r="B30" i="2"/>
  <c r="B29" i="2"/>
  <c r="B28" i="2"/>
  <c r="B23" i="2"/>
  <c r="B22" i="2"/>
  <c r="B21" i="2"/>
  <c r="B16" i="2"/>
  <c r="B15" i="2"/>
  <c r="B14" i="2"/>
  <c r="D16" i="13"/>
  <c r="D15" i="13"/>
  <c r="B67" i="11" l="1"/>
  <c r="B66" i="11"/>
  <c r="B65" i="11"/>
  <c r="B63" i="11"/>
  <c r="B62" i="11"/>
  <c r="B61" i="11"/>
  <c r="B59" i="11"/>
  <c r="B58" i="11"/>
  <c r="B57" i="11"/>
  <c r="B55" i="11"/>
  <c r="B54" i="11"/>
  <c r="B53" i="11"/>
  <c r="B50" i="11"/>
  <c r="B49" i="11"/>
  <c r="B48" i="11"/>
  <c r="B46" i="11"/>
  <c r="B45" i="11"/>
  <c r="B44" i="11"/>
  <c r="B42" i="11"/>
  <c r="B41" i="11"/>
  <c r="B40" i="11"/>
  <c r="B38" i="11"/>
  <c r="B37" i="11"/>
  <c r="B36" i="11"/>
  <c r="B34" i="11"/>
  <c r="B33" i="11"/>
  <c r="B32" i="11"/>
  <c r="B30" i="11"/>
  <c r="B29" i="11"/>
  <c r="B28" i="11"/>
  <c r="B26" i="11"/>
  <c r="B25" i="11"/>
  <c r="B24" i="11"/>
  <c r="B22" i="11"/>
  <c r="B21" i="11"/>
  <c r="B20" i="11"/>
  <c r="B18" i="11"/>
  <c r="B17" i="11"/>
  <c r="B16" i="11"/>
  <c r="B14" i="11"/>
  <c r="B13" i="11"/>
  <c r="B12" i="11"/>
  <c r="B109" i="12"/>
  <c r="B13" i="12"/>
  <c r="B169" i="12"/>
  <c r="B33" i="12"/>
  <c r="B32" i="12"/>
  <c r="B31" i="12"/>
  <c r="B193" i="12"/>
  <c r="B192" i="12"/>
  <c r="B191" i="12"/>
  <c r="B187" i="12"/>
  <c r="B186" i="12"/>
  <c r="B185" i="12"/>
  <c r="B183" i="12"/>
  <c r="B182" i="12"/>
  <c r="B181" i="12"/>
  <c r="B178" i="12"/>
  <c r="B177" i="12"/>
  <c r="B176" i="12"/>
  <c r="B174" i="12"/>
  <c r="B173" i="12"/>
  <c r="B172" i="12"/>
  <c r="B168" i="12"/>
  <c r="B167" i="12"/>
  <c r="B165" i="12"/>
  <c r="B164" i="12"/>
  <c r="B163" i="12"/>
  <c r="B159" i="12"/>
  <c r="B158" i="12"/>
  <c r="B157" i="12"/>
  <c r="B154" i="12"/>
  <c r="B153" i="12"/>
  <c r="B152" i="12"/>
  <c r="B150" i="12"/>
  <c r="B149" i="12"/>
  <c r="B148" i="12"/>
  <c r="B146" i="12"/>
  <c r="B145" i="12"/>
  <c r="B144" i="12"/>
  <c r="B142" i="12"/>
  <c r="B141" i="12"/>
  <c r="B140" i="12"/>
  <c r="B137" i="12"/>
  <c r="B136" i="12"/>
  <c r="B135" i="12"/>
  <c r="B132" i="12"/>
  <c r="B131" i="12"/>
  <c r="B129" i="12"/>
  <c r="B128" i="12"/>
  <c r="B127" i="12"/>
  <c r="B125" i="12"/>
  <c r="B124" i="12"/>
  <c r="B123" i="12"/>
  <c r="B120" i="12"/>
  <c r="B119" i="12"/>
  <c r="B118" i="12"/>
  <c r="B116" i="12"/>
  <c r="B115" i="12"/>
  <c r="B114" i="12"/>
  <c r="B110" i="12"/>
  <c r="B108" i="12"/>
  <c r="B105" i="12"/>
  <c r="B104" i="12"/>
  <c r="B103" i="12"/>
  <c r="B101" i="12"/>
  <c r="B100" i="12"/>
  <c r="B99" i="12"/>
  <c r="B97" i="12"/>
  <c r="B96" i="12"/>
  <c r="B95" i="12"/>
  <c r="B92" i="12"/>
  <c r="B91" i="12"/>
  <c r="B90" i="12"/>
  <c r="B77" i="12"/>
  <c r="B88" i="12"/>
  <c r="B87" i="12"/>
  <c r="B86" i="12"/>
  <c r="B84" i="12"/>
  <c r="B83" i="12"/>
  <c r="B82" i="12"/>
  <c r="B79" i="12"/>
  <c r="B78" i="12"/>
  <c r="B75" i="12"/>
  <c r="B74" i="12"/>
  <c r="B73" i="12"/>
  <c r="B71" i="12"/>
  <c r="B70" i="12"/>
  <c r="B69" i="12"/>
  <c r="B65" i="12"/>
  <c r="B64" i="12"/>
  <c r="B63" i="12"/>
  <c r="B61" i="12"/>
  <c r="B60" i="12"/>
  <c r="B59" i="12"/>
  <c r="B56" i="12"/>
  <c r="B55" i="12"/>
  <c r="B54" i="12"/>
  <c r="B52" i="12"/>
  <c r="B51" i="12"/>
  <c r="B50" i="12"/>
  <c r="B47" i="12"/>
  <c r="B46" i="12"/>
  <c r="B45" i="12"/>
  <c r="B43" i="12"/>
  <c r="B42" i="12"/>
  <c r="B41" i="12"/>
  <c r="B37" i="12"/>
  <c r="B36" i="12"/>
  <c r="B35" i="12"/>
  <c r="B28" i="12"/>
  <c r="B27" i="12"/>
  <c r="B26" i="12"/>
  <c r="B24" i="12"/>
  <c r="B23" i="12"/>
  <c r="B22" i="12"/>
  <c r="B19" i="12"/>
  <c r="B18" i="12"/>
  <c r="B17" i="12"/>
  <c r="B15" i="12"/>
  <c r="B14" i="12"/>
  <c r="D144" i="12" l="1"/>
  <c r="D146" i="12" s="1"/>
  <c r="E143" i="12"/>
  <c r="E144" i="12" s="1"/>
  <c r="D127" i="12"/>
  <c r="D129" i="12" s="1"/>
  <c r="E126" i="12"/>
  <c r="E127" i="12" s="1"/>
  <c r="D145" i="12" l="1"/>
  <c r="E146" i="12"/>
  <c r="E145" i="12"/>
  <c r="D128" i="12"/>
  <c r="E129" i="12"/>
  <c r="E128" i="12"/>
  <c r="E128" i="5" l="1"/>
  <c r="E195" i="12" l="1"/>
  <c r="E127" i="5"/>
  <c r="A7" i="11"/>
  <c r="D25" i="13" l="1"/>
  <c r="D113" i="3" l="1"/>
  <c r="D106" i="5" l="1"/>
  <c r="D107" i="5"/>
  <c r="D107" i="4"/>
  <c r="D120" i="3"/>
  <c r="D103" i="2"/>
  <c r="D100" i="4"/>
  <c r="D99" i="5"/>
  <c r="D100" i="5"/>
  <c r="D96" i="2"/>
  <c r="D89" i="2"/>
  <c r="D93" i="4"/>
  <c r="D93" i="5"/>
  <c r="D106" i="3"/>
  <c r="D64" i="5"/>
  <c r="D60" i="2" s="1"/>
  <c r="D65" i="5"/>
  <c r="D78" i="3"/>
  <c r="D61" i="2"/>
  <c r="D57" i="5"/>
  <c r="D58" i="5"/>
  <c r="D58" i="4"/>
  <c r="D71" i="3"/>
  <c r="D54" i="2"/>
  <c r="D44" i="5"/>
  <c r="D43" i="5"/>
  <c r="D44" i="4"/>
  <c r="D57" i="3"/>
  <c r="D40" i="2"/>
  <c r="D37" i="4"/>
  <c r="D50" i="3"/>
  <c r="D33" i="2"/>
  <c r="D37" i="5"/>
  <c r="D36" i="5"/>
  <c r="D39" i="5" s="1"/>
  <c r="D40" i="5" s="1"/>
  <c r="D26" i="2"/>
  <c r="D43" i="3"/>
  <c r="D30" i="4"/>
  <c r="D30" i="5"/>
  <c r="D29" i="5"/>
  <c r="D16" i="4"/>
  <c r="D29" i="3"/>
  <c r="E24" i="3" l="1"/>
  <c r="D24" i="3"/>
  <c r="D26" i="3" s="1"/>
  <c r="D25" i="3" l="1"/>
  <c r="E26" i="3" l="1"/>
  <c r="E25" i="3"/>
  <c r="E67" i="13"/>
  <c r="D18" i="3" l="1"/>
  <c r="D19" i="2" l="1"/>
  <c r="D191" i="12" l="1"/>
  <c r="D192" i="12" s="1"/>
  <c r="D186" i="12"/>
  <c r="D185" i="12"/>
  <c r="D187" i="12" s="1"/>
  <c r="D182" i="12"/>
  <c r="D181" i="12"/>
  <c r="D183" i="12" s="1"/>
  <c r="D176" i="12"/>
  <c r="D177" i="12" s="1"/>
  <c r="D172" i="12"/>
  <c r="D174" i="12" s="1"/>
  <c r="D167" i="12"/>
  <c r="D168" i="12" s="1"/>
  <c r="D163" i="12"/>
  <c r="D165" i="12" s="1"/>
  <c r="D157" i="12"/>
  <c r="D158" i="12" s="1"/>
  <c r="D152" i="12"/>
  <c r="D154" i="12" s="1"/>
  <c r="D148" i="12"/>
  <c r="D150" i="12" s="1"/>
  <c r="D140" i="12"/>
  <c r="D141" i="12" s="1"/>
  <c r="E135" i="12"/>
  <c r="E136" i="12" s="1"/>
  <c r="D135" i="12"/>
  <c r="D136" i="12" s="1"/>
  <c r="E131" i="12"/>
  <c r="E132" i="12" s="1"/>
  <c r="D131" i="12"/>
  <c r="D133" i="12" s="1"/>
  <c r="D123" i="12"/>
  <c r="D118" i="12"/>
  <c r="D120" i="12" s="1"/>
  <c r="D114" i="12"/>
  <c r="D115" i="12" s="1"/>
  <c r="D108" i="12"/>
  <c r="D110" i="12" s="1"/>
  <c r="D104" i="12"/>
  <c r="D103" i="12"/>
  <c r="D105" i="12" s="1"/>
  <c r="D99" i="12"/>
  <c r="D101" i="12" s="1"/>
  <c r="D95" i="12"/>
  <c r="D97" i="12" s="1"/>
  <c r="D90" i="12"/>
  <c r="D92" i="12" s="1"/>
  <c r="D86" i="12"/>
  <c r="D88" i="12" s="1"/>
  <c r="D82" i="12"/>
  <c r="D84" i="12" s="1"/>
  <c r="D77" i="12"/>
  <c r="D79" i="12" s="1"/>
  <c r="E190" i="12"/>
  <c r="E191" i="12" s="1"/>
  <c r="E192" i="12" s="1"/>
  <c r="E184" i="12"/>
  <c r="E185" i="12" s="1"/>
  <c r="E180" i="12"/>
  <c r="E181" i="12" s="1"/>
  <c r="E175" i="12"/>
  <c r="E176" i="12" s="1"/>
  <c r="E177" i="12" s="1"/>
  <c r="E171" i="12"/>
  <c r="E172" i="12" s="1"/>
  <c r="E174" i="12" s="1"/>
  <c r="E166" i="12"/>
  <c r="E167" i="12" s="1"/>
  <c r="E168" i="12" s="1"/>
  <c r="E162" i="12"/>
  <c r="E163" i="12" s="1"/>
  <c r="E165" i="12" s="1"/>
  <c r="E156" i="12"/>
  <c r="E157" i="12" s="1"/>
  <c r="E158" i="12" s="1"/>
  <c r="E151" i="12"/>
  <c r="E152" i="12" s="1"/>
  <c r="E147" i="12"/>
  <c r="E148" i="12" s="1"/>
  <c r="E150" i="12" s="1"/>
  <c r="E139" i="12"/>
  <c r="E140" i="12" s="1"/>
  <c r="E141" i="12" s="1"/>
  <c r="E134" i="12"/>
  <c r="E130" i="12"/>
  <c r="E122" i="12"/>
  <c r="E123" i="12" s="1"/>
  <c r="E125" i="12" s="1"/>
  <c r="E117" i="12"/>
  <c r="E118" i="12" s="1"/>
  <c r="E120" i="12" s="1"/>
  <c r="E113" i="12"/>
  <c r="E114" i="12" s="1"/>
  <c r="E115" i="12" s="1"/>
  <c r="E107" i="12"/>
  <c r="E108" i="12" s="1"/>
  <c r="E102" i="12"/>
  <c r="E103" i="12" s="1"/>
  <c r="E105" i="12" s="1"/>
  <c r="E98" i="12"/>
  <c r="E99" i="12" s="1"/>
  <c r="E100" i="12" s="1"/>
  <c r="E94" i="12"/>
  <c r="E95" i="12" s="1"/>
  <c r="E89" i="12"/>
  <c r="E90" i="12" s="1"/>
  <c r="E91" i="12" s="1"/>
  <c r="E85" i="12"/>
  <c r="E86" i="12" s="1"/>
  <c r="E88" i="12" s="1"/>
  <c r="E81" i="12"/>
  <c r="E82" i="12" s="1"/>
  <c r="E84" i="12" s="1"/>
  <c r="E76" i="12"/>
  <c r="E77" i="12" s="1"/>
  <c r="E79" i="12" s="1"/>
  <c r="E72" i="12"/>
  <c r="E68" i="12"/>
  <c r="E62" i="12"/>
  <c r="E58" i="12"/>
  <c r="E53" i="12"/>
  <c r="E49" i="12"/>
  <c r="E44" i="12"/>
  <c r="E40" i="12"/>
  <c r="E34" i="12"/>
  <c r="E30" i="12"/>
  <c r="E25" i="12"/>
  <c r="E21" i="12"/>
  <c r="E16" i="12"/>
  <c r="E12" i="12"/>
  <c r="E13" i="12" s="1"/>
  <c r="E187" i="12" l="1"/>
  <c r="E186" i="12"/>
  <c r="E183" i="12"/>
  <c r="E182" i="12"/>
  <c r="D125" i="12"/>
  <c r="D124" i="12"/>
  <c r="E110" i="12"/>
  <c r="E109" i="12"/>
  <c r="D109" i="12"/>
  <c r="E97" i="12"/>
  <c r="E96" i="12"/>
  <c r="D96" i="12"/>
  <c r="D87" i="12"/>
  <c r="E154" i="12"/>
  <c r="E153" i="12"/>
  <c r="D153" i="12"/>
  <c r="D193" i="12"/>
  <c r="E193" i="12"/>
  <c r="D178" i="12"/>
  <c r="E178" i="12"/>
  <c r="D173" i="12"/>
  <c r="E173" i="12"/>
  <c r="D169" i="12"/>
  <c r="E169" i="12"/>
  <c r="D164" i="12"/>
  <c r="E164" i="12"/>
  <c r="D159" i="12"/>
  <c r="E159" i="12"/>
  <c r="D149" i="12"/>
  <c r="E149" i="12"/>
  <c r="D142" i="12"/>
  <c r="E142" i="12"/>
  <c r="D137" i="12"/>
  <c r="E137" i="12"/>
  <c r="E133" i="12"/>
  <c r="D132" i="12"/>
  <c r="E124" i="12"/>
  <c r="D119" i="12"/>
  <c r="E119" i="12"/>
  <c r="D116" i="12"/>
  <c r="E116" i="12"/>
  <c r="E104" i="12"/>
  <c r="E101" i="12"/>
  <c r="D100" i="12"/>
  <c r="E92" i="12"/>
  <c r="D91" i="12"/>
  <c r="E87" i="12"/>
  <c r="D83" i="12"/>
  <c r="E83" i="12"/>
  <c r="D78" i="12"/>
  <c r="E78" i="12"/>
  <c r="D53" i="13" l="1"/>
  <c r="D39" i="13"/>
  <c r="E25" i="13" l="1"/>
  <c r="E39" i="13"/>
  <c r="E53" i="13"/>
  <c r="D10" i="3"/>
  <c r="D10" i="5"/>
  <c r="E10" i="5" s="1"/>
  <c r="E11" i="5" s="1"/>
  <c r="D11" i="5" l="1"/>
  <c r="E13" i="5"/>
  <c r="E12" i="5"/>
  <c r="D12" i="5" l="1"/>
  <c r="D13" i="5"/>
  <c r="D12" i="13"/>
  <c r="E73" i="12"/>
  <c r="E75" i="12" s="1"/>
  <c r="E69" i="12"/>
  <c r="E71" i="12" s="1"/>
  <c r="E63" i="12"/>
  <c r="E64" i="12" s="1"/>
  <c r="E59" i="12"/>
  <c r="E61" i="12" s="1"/>
  <c r="E54" i="12"/>
  <c r="E56" i="12" s="1"/>
  <c r="E50" i="12"/>
  <c r="E51" i="12" s="1"/>
  <c r="E45" i="12"/>
  <c r="E46" i="12" s="1"/>
  <c r="E41" i="12"/>
  <c r="E42" i="12" s="1"/>
  <c r="E35" i="12"/>
  <c r="E37" i="12" s="1"/>
  <c r="E31" i="12"/>
  <c r="E32" i="12" s="1"/>
  <c r="E26" i="12"/>
  <c r="E28" i="12" s="1"/>
  <c r="E22" i="12"/>
  <c r="E24" i="12" s="1"/>
  <c r="E17" i="12"/>
  <c r="E19" i="12" s="1"/>
  <c r="E14" i="12"/>
  <c r="D26" i="13" l="1"/>
  <c r="D54" i="13"/>
  <c r="D40" i="13"/>
  <c r="E47" i="12"/>
  <c r="E43" i="12"/>
  <c r="E55" i="12"/>
  <c r="E36" i="12"/>
  <c r="E27" i="12"/>
  <c r="E18" i="12"/>
  <c r="E12" i="13"/>
  <c r="E70" i="12"/>
  <c r="E15" i="12"/>
  <c r="E33" i="12"/>
  <c r="E52" i="12"/>
  <c r="E65" i="12"/>
  <c r="E23" i="12"/>
  <c r="E74" i="12"/>
  <c r="E54" i="13" l="1"/>
  <c r="D55" i="13"/>
  <c r="D56" i="13"/>
  <c r="E26" i="13"/>
  <c r="D27" i="13"/>
  <c r="D28" i="13"/>
  <c r="E40" i="13"/>
  <c r="D42" i="13"/>
  <c r="D41" i="13"/>
  <c r="E17" i="3"/>
  <c r="D29" i="13" l="1"/>
  <c r="D30" i="13"/>
  <c r="E55" i="13"/>
  <c r="E56" i="13"/>
  <c r="D44" i="13"/>
  <c r="D43" i="13"/>
  <c r="E27" i="13"/>
  <c r="E28" i="13"/>
  <c r="E41" i="13"/>
  <c r="E42" i="13"/>
  <c r="D58" i="13"/>
  <c r="D57" i="13"/>
  <c r="D19" i="3"/>
  <c r="E15" i="3"/>
  <c r="E18" i="3" s="1"/>
  <c r="E43" i="13" l="1"/>
  <c r="E44" i="13"/>
  <c r="E29" i="13"/>
  <c r="E30" i="13"/>
  <c r="E58" i="13"/>
  <c r="E57" i="13"/>
  <c r="E19" i="3"/>
  <c r="D20" i="3"/>
  <c r="D21" i="3"/>
  <c r="E21" i="3" l="1"/>
  <c r="E20" i="3"/>
  <c r="E10" i="3" l="1"/>
  <c r="D10" i="4"/>
  <c r="D50" i="5" l="1"/>
  <c r="D73" i="12" l="1"/>
  <c r="D74" i="12" s="1"/>
  <c r="D59" i="12"/>
  <c r="D61" i="12" s="1"/>
  <c r="D54" i="12"/>
  <c r="D56" i="12" s="1"/>
  <c r="D41" i="12"/>
  <c r="D43" i="12" s="1"/>
  <c r="D63" i="12"/>
  <c r="D65" i="12" s="1"/>
  <c r="D50" i="12"/>
  <c r="D52" i="12" s="1"/>
  <c r="D45" i="12"/>
  <c r="D46" i="12" s="1"/>
  <c r="D120" i="5"/>
  <c r="D116" i="2" s="1"/>
  <c r="E116" i="2" s="1"/>
  <c r="D113" i="5"/>
  <c r="E113" i="5" s="1"/>
  <c r="D108" i="5"/>
  <c r="E92" i="5"/>
  <c r="E29" i="5"/>
  <c r="D31" i="1"/>
  <c r="E31" i="1" s="1"/>
  <c r="D34" i="1"/>
  <c r="E34" i="1"/>
  <c r="E35" i="1" s="1"/>
  <c r="D35" i="1"/>
  <c r="D37" i="1"/>
  <c r="D36" i="1"/>
  <c r="D32" i="1"/>
  <c r="D33" i="1" s="1"/>
  <c r="D29" i="1"/>
  <c r="E29" i="1" s="1"/>
  <c r="D121" i="5"/>
  <c r="D134" i="3" s="1"/>
  <c r="E134" i="3" s="1"/>
  <c r="D114" i="5"/>
  <c r="D127" i="3" s="1"/>
  <c r="E120" i="3"/>
  <c r="E106" i="3"/>
  <c r="E78" i="3"/>
  <c r="D51" i="5"/>
  <c r="D51" i="4" s="1"/>
  <c r="E57" i="3"/>
  <c r="E26" i="2"/>
  <c r="D23" i="5"/>
  <c r="D36" i="3" s="1"/>
  <c r="E29" i="3"/>
  <c r="E93" i="4"/>
  <c r="E30" i="4"/>
  <c r="E107" i="5"/>
  <c r="E64" i="5"/>
  <c r="E50" i="5"/>
  <c r="E43" i="5"/>
  <c r="D54" i="1"/>
  <c r="E54" i="1"/>
  <c r="F54" i="1" s="1"/>
  <c r="D68" i="1"/>
  <c r="E68" i="1" s="1"/>
  <c r="E69" i="1" s="1"/>
  <c r="D51" i="1"/>
  <c r="D42" i="1" s="1"/>
  <c r="E42" i="1" s="1"/>
  <c r="F42" i="1" s="1"/>
  <c r="G42" i="1" s="1"/>
  <c r="D48" i="11"/>
  <c r="D49" i="11" s="1"/>
  <c r="D50" i="11"/>
  <c r="A7" i="12"/>
  <c r="D17" i="12"/>
  <c r="D19" i="12" s="1"/>
  <c r="D18" i="12"/>
  <c r="D69" i="12"/>
  <c r="D71" i="12" s="1"/>
  <c r="D35" i="12"/>
  <c r="D37" i="12" s="1"/>
  <c r="D31" i="12"/>
  <c r="D32" i="12" s="1"/>
  <c r="D26" i="12"/>
  <c r="D28" i="12" s="1"/>
  <c r="D22" i="12"/>
  <c r="D24" i="12" s="1"/>
  <c r="D13" i="12"/>
  <c r="D15" i="12" s="1"/>
  <c r="D36" i="12"/>
  <c r="D23" i="12"/>
  <c r="E142" i="3"/>
  <c r="D16" i="7"/>
  <c r="D14" i="7"/>
  <c r="D15" i="7"/>
  <c r="D12" i="7"/>
  <c r="D13" i="7"/>
  <c r="D10" i="7"/>
  <c r="D11" i="7"/>
  <c r="D64" i="11"/>
  <c r="D65" i="11" s="1"/>
  <c r="D60" i="11"/>
  <c r="D61" i="11" s="1"/>
  <c r="D56" i="11"/>
  <c r="D57" i="11" s="1"/>
  <c r="D52" i="11"/>
  <c r="D53" i="11" s="1"/>
  <c r="D43" i="11"/>
  <c r="D44" i="11" s="1"/>
  <c r="D46" i="11" s="1"/>
  <c r="D39" i="11"/>
  <c r="D40" i="11" s="1"/>
  <c r="D35" i="11"/>
  <c r="D36" i="11" s="1"/>
  <c r="D38" i="11" s="1"/>
  <c r="D31" i="11"/>
  <c r="D32" i="11" s="1"/>
  <c r="D27" i="11"/>
  <c r="D28" i="11" s="1"/>
  <c r="D30" i="11" s="1"/>
  <c r="D23" i="11"/>
  <c r="D24" i="11" s="1"/>
  <c r="D19" i="11"/>
  <c r="D20" i="11"/>
  <c r="D22" i="11" s="1"/>
  <c r="D15" i="11"/>
  <c r="D16" i="11" s="1"/>
  <c r="D11" i="11"/>
  <c r="D12" i="11" s="1"/>
  <c r="D14" i="11" s="1"/>
  <c r="D21" i="11"/>
  <c r="D11" i="4"/>
  <c r="D12" i="4" s="1"/>
  <c r="E10" i="4"/>
  <c r="E11" i="4" s="1"/>
  <c r="E11" i="3"/>
  <c r="D11" i="3"/>
  <c r="D12" i="3" s="1"/>
  <c r="D136" i="1"/>
  <c r="D137" i="1" s="1"/>
  <c r="D132" i="1"/>
  <c r="D127" i="1"/>
  <c r="D128" i="1"/>
  <c r="D129" i="1" s="1"/>
  <c r="D123" i="1"/>
  <c r="D119" i="1"/>
  <c r="D120" i="1"/>
  <c r="D122" i="1" s="1"/>
  <c r="D115" i="1"/>
  <c r="D116" i="1" s="1"/>
  <c r="D111" i="1"/>
  <c r="D112" i="1"/>
  <c r="D107" i="1"/>
  <c r="D99" i="1"/>
  <c r="D97" i="1" s="1"/>
  <c r="D89" i="1"/>
  <c r="E89" i="1"/>
  <c r="D79" i="1"/>
  <c r="D57" i="1"/>
  <c r="D72" i="1" s="1"/>
  <c r="D48" i="1"/>
  <c r="D40" i="1"/>
  <c r="E40" i="1" s="1"/>
  <c r="D18" i="1"/>
  <c r="D25" i="1"/>
  <c r="D26" i="1" s="1"/>
  <c r="D15" i="1"/>
  <c r="D16" i="1" s="1"/>
  <c r="D17" i="1" s="1"/>
  <c r="D114" i="1"/>
  <c r="D113" i="1"/>
  <c r="E111" i="1"/>
  <c r="F111" i="1"/>
  <c r="D121" i="1"/>
  <c r="D49" i="1"/>
  <c r="D60" i="1"/>
  <c r="D61" i="1" s="1"/>
  <c r="D13" i="1"/>
  <c r="E13" i="1" s="1"/>
  <c r="E14" i="1" s="1"/>
  <c r="D19" i="1"/>
  <c r="D20" i="1" s="1"/>
  <c r="E119" i="1"/>
  <c r="F119" i="1" s="1"/>
  <c r="E48" i="1"/>
  <c r="E49" i="1"/>
  <c r="E127" i="1"/>
  <c r="F127" i="1" s="1"/>
  <c r="F89" i="1"/>
  <c r="E90" i="1"/>
  <c r="D77" i="1"/>
  <c r="D78" i="1" s="1"/>
  <c r="E79" i="1"/>
  <c r="D82" i="1"/>
  <c r="D80" i="1"/>
  <c r="E115" i="1"/>
  <c r="F115" i="1" s="1"/>
  <c r="D102" i="1"/>
  <c r="E102" i="1" s="1"/>
  <c r="D87" i="1"/>
  <c r="D92" i="1"/>
  <c r="D90" i="1"/>
  <c r="E132" i="1"/>
  <c r="D133" i="1"/>
  <c r="E55" i="1"/>
  <c r="D44" i="1"/>
  <c r="E44" i="1" s="1"/>
  <c r="F44" i="1" s="1"/>
  <c r="D55" i="1"/>
  <c r="D69" i="1"/>
  <c r="E107" i="1"/>
  <c r="D108" i="1"/>
  <c r="D109" i="1" s="1"/>
  <c r="E123" i="1"/>
  <c r="D124" i="1"/>
  <c r="E18" i="1"/>
  <c r="E19" i="1" s="1"/>
  <c r="E20" i="1" s="1"/>
  <c r="D58" i="1"/>
  <c r="D13" i="3"/>
  <c r="D53" i="5"/>
  <c r="D55" i="5" s="1"/>
  <c r="D95" i="5"/>
  <c r="D97" i="5" s="1"/>
  <c r="E36" i="5"/>
  <c r="F48" i="1"/>
  <c r="G48" i="1" s="1"/>
  <c r="G49" i="1" s="1"/>
  <c r="G50" i="1" s="1"/>
  <c r="D50" i="1"/>
  <c r="E112" i="1"/>
  <c r="E113" i="1"/>
  <c r="D126" i="1"/>
  <c r="D125" i="1"/>
  <c r="D135" i="1"/>
  <c r="D134" i="1"/>
  <c r="D91" i="1"/>
  <c r="E91" i="1"/>
  <c r="E60" i="1"/>
  <c r="E61" i="1" s="1"/>
  <c r="E128" i="1"/>
  <c r="E129" i="1" s="1"/>
  <c r="D71" i="1"/>
  <c r="D70" i="1"/>
  <c r="D81" i="1"/>
  <c r="E56" i="1"/>
  <c r="E50" i="1"/>
  <c r="D59" i="1"/>
  <c r="D56" i="1"/>
  <c r="E108" i="1"/>
  <c r="F107" i="1"/>
  <c r="G107" i="1" s="1"/>
  <c r="G108" i="1" s="1"/>
  <c r="D93" i="1"/>
  <c r="D95" i="1" s="1"/>
  <c r="E92" i="1"/>
  <c r="E116" i="1"/>
  <c r="E118" i="1" s="1"/>
  <c r="E80" i="1"/>
  <c r="F79" i="1"/>
  <c r="D88" i="1"/>
  <c r="E87" i="1"/>
  <c r="F87" i="1" s="1"/>
  <c r="G87" i="1" s="1"/>
  <c r="G88" i="1" s="1"/>
  <c r="D45" i="1"/>
  <c r="E124" i="1"/>
  <c r="F123" i="1"/>
  <c r="E133" i="1"/>
  <c r="E134" i="1" s="1"/>
  <c r="F132" i="1"/>
  <c r="F133" i="1" s="1"/>
  <c r="F135" i="1" s="1"/>
  <c r="F112" i="1"/>
  <c r="F113" i="1" s="1"/>
  <c r="G111" i="1"/>
  <c r="G112" i="1" s="1"/>
  <c r="D83" i="1"/>
  <c r="E82" i="1"/>
  <c r="E83" i="1"/>
  <c r="E85" i="1" s="1"/>
  <c r="F90" i="1"/>
  <c r="F91" i="1" s="1"/>
  <c r="G89" i="1"/>
  <c r="G90" i="1" s="1"/>
  <c r="G91" i="1" s="1"/>
  <c r="E114" i="1"/>
  <c r="F114" i="1"/>
  <c r="E126" i="1"/>
  <c r="E125" i="1"/>
  <c r="E135" i="1"/>
  <c r="E110" i="1"/>
  <c r="E109" i="1"/>
  <c r="E117" i="1"/>
  <c r="D84" i="1"/>
  <c r="D85" i="1"/>
  <c r="E81" i="1"/>
  <c r="F82" i="1"/>
  <c r="G82" i="1" s="1"/>
  <c r="G83" i="1" s="1"/>
  <c r="G85" i="1" s="1"/>
  <c r="F80" i="1"/>
  <c r="G79" i="1"/>
  <c r="E93" i="1"/>
  <c r="F92" i="1"/>
  <c r="F124" i="1"/>
  <c r="F126" i="1" s="1"/>
  <c r="G123" i="1"/>
  <c r="G124" i="1" s="1"/>
  <c r="E45" i="1"/>
  <c r="G132" i="1"/>
  <c r="G133" i="1" s="1"/>
  <c r="G134" i="1" s="1"/>
  <c r="F108" i="1"/>
  <c r="F110" i="1" s="1"/>
  <c r="F134" i="1"/>
  <c r="F125" i="1"/>
  <c r="F109" i="1"/>
  <c r="G135" i="1"/>
  <c r="F81" i="1"/>
  <c r="F83" i="1"/>
  <c r="F84" i="1" s="1"/>
  <c r="F93" i="1"/>
  <c r="G92" i="1"/>
  <c r="G93" i="1" s="1"/>
  <c r="G95" i="1" s="1"/>
  <c r="G77" i="1"/>
  <c r="G78" i="1"/>
  <c r="G80" i="1"/>
  <c r="F88" i="1"/>
  <c r="G84" i="1"/>
  <c r="F85" i="1"/>
  <c r="G81" i="1"/>
  <c r="D32" i="8"/>
  <c r="D31" i="8"/>
  <c r="D30" i="8"/>
  <c r="D29" i="8"/>
  <c r="D27" i="8"/>
  <c r="D26" i="8"/>
  <c r="D25" i="8"/>
  <c r="D24" i="8"/>
  <c r="D23" i="8"/>
  <c r="D22" i="8"/>
  <c r="D21" i="8"/>
  <c r="D20" i="8"/>
  <c r="D17" i="8"/>
  <c r="D16" i="8"/>
  <c r="D14" i="8"/>
  <c r="D12" i="8"/>
  <c r="D129" i="5"/>
  <c r="E129" i="5" s="1"/>
  <c r="D128" i="4"/>
  <c r="E128" i="4" s="1"/>
  <c r="D141" i="3"/>
  <c r="E141" i="3" s="1"/>
  <c r="E140" i="3"/>
  <c r="D124" i="2"/>
  <c r="D145" i="1"/>
  <c r="E145" i="1" s="1"/>
  <c r="F145" i="1" s="1"/>
  <c r="G145" i="1" s="1"/>
  <c r="D144" i="1"/>
  <c r="A7" i="8"/>
  <c r="A7" i="7"/>
  <c r="A7" i="5"/>
  <c r="A7" i="4"/>
  <c r="A7" i="2"/>
  <c r="D126" i="3"/>
  <c r="G116" i="2"/>
  <c r="G102" i="2"/>
  <c r="G95" i="2"/>
  <c r="G88" i="2"/>
  <c r="G60" i="2"/>
  <c r="G53" i="2"/>
  <c r="G32" i="2"/>
  <c r="G18" i="2"/>
  <c r="G133" i="3"/>
  <c r="G119" i="3"/>
  <c r="G105" i="3"/>
  <c r="G77" i="3"/>
  <c r="G70" i="3"/>
  <c r="G63" i="3"/>
  <c r="G56" i="3"/>
  <c r="G49" i="3"/>
  <c r="G42" i="3"/>
  <c r="G35" i="3"/>
  <c r="G28" i="3"/>
  <c r="G15" i="4"/>
  <c r="G22" i="4"/>
  <c r="G29" i="4"/>
  <c r="G36" i="4"/>
  <c r="G43" i="4"/>
  <c r="G50" i="4"/>
  <c r="G57" i="4"/>
  <c r="G64" i="4"/>
  <c r="G92" i="4"/>
  <c r="G99" i="4"/>
  <c r="G106" i="4"/>
  <c r="G120" i="4"/>
  <c r="D52" i="1"/>
  <c r="D53" i="1" s="1"/>
  <c r="D43" i="1"/>
  <c r="E43" i="1"/>
  <c r="F43" i="1" s="1"/>
  <c r="G43" i="1" s="1"/>
  <c r="D92" i="4"/>
  <c r="E92" i="4" s="1"/>
  <c r="E16" i="4"/>
  <c r="D28" i="3"/>
  <c r="D15" i="4"/>
  <c r="E107" i="4"/>
  <c r="D43" i="4"/>
  <c r="D64" i="4"/>
  <c r="D36" i="4"/>
  <c r="D50" i="4"/>
  <c r="E50" i="4" s="1"/>
  <c r="E64" i="4"/>
  <c r="E127" i="4"/>
  <c r="E124" i="2"/>
  <c r="E123" i="2"/>
  <c r="D105" i="3"/>
  <c r="D77" i="3"/>
  <c r="D63" i="3"/>
  <c r="D56" i="3"/>
  <c r="D49" i="3"/>
  <c r="D42" i="3"/>
  <c r="D88" i="2"/>
  <c r="E60" i="2"/>
  <c r="D46" i="2"/>
  <c r="E46" i="2" s="1"/>
  <c r="D39" i="2"/>
  <c r="E39" i="2" s="1"/>
  <c r="D32" i="2"/>
  <c r="E32" i="2" s="1"/>
  <c r="D25" i="2"/>
  <c r="D28" i="2" s="1"/>
  <c r="E144" i="1"/>
  <c r="F144" i="1" s="1"/>
  <c r="G144" i="1" s="1"/>
  <c r="E143" i="1"/>
  <c r="E142" i="1"/>
  <c r="D59" i="11" l="1"/>
  <c r="D58" i="11"/>
  <c r="D67" i="11"/>
  <c r="D66" i="11"/>
  <c r="D29" i="11"/>
  <c r="D120" i="4"/>
  <c r="E120" i="4" s="1"/>
  <c r="D133" i="3"/>
  <c r="D70" i="12"/>
  <c r="D55" i="12"/>
  <c r="E62" i="1"/>
  <c r="E63" i="1"/>
  <c r="D73" i="1"/>
  <c r="E72" i="1"/>
  <c r="D118" i="1"/>
  <c r="D117" i="1"/>
  <c r="E70" i="1"/>
  <c r="E71" i="1"/>
  <c r="E30" i="1"/>
  <c r="F29" i="1"/>
  <c r="F30" i="1" s="1"/>
  <c r="G126" i="1"/>
  <c r="G125" i="1"/>
  <c r="E94" i="1"/>
  <c r="E95" i="1"/>
  <c r="G119" i="1"/>
  <c r="G120" i="1" s="1"/>
  <c r="F120" i="1"/>
  <c r="G54" i="1"/>
  <c r="G55" i="1" s="1"/>
  <c r="G56" i="1" s="1"/>
  <c r="F68" i="1"/>
  <c r="F55" i="1"/>
  <c r="F56" i="1" s="1"/>
  <c r="E37" i="1"/>
  <c r="E36" i="1"/>
  <c r="G94" i="1"/>
  <c r="G110" i="1"/>
  <c r="G109" i="1"/>
  <c r="E103" i="1"/>
  <c r="F102" i="1"/>
  <c r="F128" i="1"/>
  <c r="G127" i="1"/>
  <c r="G128" i="1" s="1"/>
  <c r="E41" i="1"/>
  <c r="F40" i="1"/>
  <c r="G114" i="1"/>
  <c r="G113" i="1"/>
  <c r="D63" i="1"/>
  <c r="D62" i="1"/>
  <c r="D98" i="1"/>
  <c r="E97" i="1"/>
  <c r="F95" i="1"/>
  <c r="F94" i="1"/>
  <c r="F45" i="1"/>
  <c r="G44" i="1"/>
  <c r="G45" i="1" s="1"/>
  <c r="F116" i="1"/>
  <c r="G115" i="1"/>
  <c r="G116" i="1" s="1"/>
  <c r="D139" i="1"/>
  <c r="D138" i="1"/>
  <c r="F31" i="1"/>
  <c r="E32" i="1"/>
  <c r="E33" i="1" s="1"/>
  <c r="E88" i="1"/>
  <c r="E84" i="1"/>
  <c r="D94" i="1"/>
  <c r="D103" i="1"/>
  <c r="F60" i="1"/>
  <c r="D110" i="1"/>
  <c r="F49" i="1"/>
  <c r="F50" i="1" s="1"/>
  <c r="E51" i="1"/>
  <c r="D21" i="1"/>
  <c r="D100" i="1"/>
  <c r="D101" i="1" s="1"/>
  <c r="E120" i="1"/>
  <c r="E136" i="1"/>
  <c r="D130" i="1"/>
  <c r="D11" i="1"/>
  <c r="D41" i="1"/>
  <c r="D46" i="1"/>
  <c r="D64" i="1"/>
  <c r="E130" i="1"/>
  <c r="E77" i="1"/>
  <c r="E99" i="1"/>
  <c r="E15" i="1"/>
  <c r="D30" i="1"/>
  <c r="E57" i="1"/>
  <c r="E51" i="5"/>
  <c r="D123" i="5"/>
  <c r="D124" i="5" s="1"/>
  <c r="D109" i="2"/>
  <c r="E109" i="2" s="1"/>
  <c r="D113" i="4"/>
  <c r="E113" i="4" s="1"/>
  <c r="E52" i="5"/>
  <c r="D23" i="4"/>
  <c r="E23" i="4" s="1"/>
  <c r="D63" i="11"/>
  <c r="D62" i="11"/>
  <c r="D26" i="11"/>
  <c r="D25" i="11"/>
  <c r="D41" i="11"/>
  <c r="D42" i="11"/>
  <c r="D17" i="11"/>
  <c r="D18" i="11"/>
  <c r="D55" i="11"/>
  <c r="D54" i="11"/>
  <c r="D33" i="11"/>
  <c r="D34" i="11"/>
  <c r="D37" i="11"/>
  <c r="D45" i="11"/>
  <c r="D13" i="11"/>
  <c r="D64" i="3"/>
  <c r="E64" i="3" s="1"/>
  <c r="D47" i="2"/>
  <c r="E47" i="2" s="1"/>
  <c r="E48" i="2" s="1"/>
  <c r="D18" i="4"/>
  <c r="D20" i="4" s="1"/>
  <c r="D17" i="4"/>
  <c r="D58" i="3"/>
  <c r="D79" i="3"/>
  <c r="E28" i="3"/>
  <c r="E30" i="3" s="1"/>
  <c r="D30" i="3"/>
  <c r="D135" i="3"/>
  <c r="E25" i="1"/>
  <c r="F25" i="1" s="1"/>
  <c r="G25" i="1" s="1"/>
  <c r="G26" i="1" s="1"/>
  <c r="G28" i="1" s="1"/>
  <c r="E126" i="3"/>
  <c r="D128" i="3"/>
  <c r="D108" i="3"/>
  <c r="D109" i="3" s="1"/>
  <c r="D107" i="3"/>
  <c r="E71" i="3"/>
  <c r="E63" i="3"/>
  <c r="E53" i="5"/>
  <c r="E55" i="5" s="1"/>
  <c r="E49" i="3"/>
  <c r="E42" i="3"/>
  <c r="D96" i="5"/>
  <c r="E58" i="5"/>
  <c r="E58" i="4"/>
  <c r="E54" i="2"/>
  <c r="F26" i="1"/>
  <c r="F28" i="1" s="1"/>
  <c r="E26" i="1"/>
  <c r="D28" i="1"/>
  <c r="D27" i="1"/>
  <c r="F18" i="1"/>
  <c r="D14" i="1"/>
  <c r="F13" i="1"/>
  <c r="D102" i="2"/>
  <c r="E102" i="2" s="1"/>
  <c r="D119" i="3"/>
  <c r="E119" i="3" s="1"/>
  <c r="E121" i="3" s="1"/>
  <c r="D53" i="4"/>
  <c r="D55" i="4" s="1"/>
  <c r="D94" i="4"/>
  <c r="E103" i="2"/>
  <c r="D32" i="5"/>
  <c r="D33" i="5" s="1"/>
  <c r="D121" i="4"/>
  <c r="E121" i="4" s="1"/>
  <c r="D122" i="5"/>
  <c r="D52" i="5"/>
  <c r="D54" i="5"/>
  <c r="E121" i="5"/>
  <c r="D51" i="3"/>
  <c r="E37" i="5"/>
  <c r="E38" i="5" s="1"/>
  <c r="D29" i="4"/>
  <c r="D32" i="4" s="1"/>
  <c r="D31" i="5"/>
  <c r="E15" i="4"/>
  <c r="E18" i="4" s="1"/>
  <c r="E120" i="5"/>
  <c r="E19" i="2"/>
  <c r="E36" i="3"/>
  <c r="E89" i="2"/>
  <c r="D38" i="5"/>
  <c r="D66" i="5"/>
  <c r="D115" i="5"/>
  <c r="D95" i="4"/>
  <c r="D45" i="5"/>
  <c r="D94" i="5"/>
  <c r="E93" i="5"/>
  <c r="E43" i="3"/>
  <c r="E30" i="5"/>
  <c r="D117" i="2"/>
  <c r="E117" i="2" s="1"/>
  <c r="E118" i="2" s="1"/>
  <c r="D35" i="3"/>
  <c r="D24" i="5"/>
  <c r="D59" i="5"/>
  <c r="D101" i="5"/>
  <c r="D33" i="12"/>
  <c r="D47" i="12"/>
  <c r="D75" i="12"/>
  <c r="D14" i="12"/>
  <c r="E105" i="3"/>
  <c r="E107" i="3" s="1"/>
  <c r="E13" i="3"/>
  <c r="E12" i="3"/>
  <c r="D13" i="4"/>
  <c r="E13" i="4"/>
  <c r="E12" i="4"/>
  <c r="D90" i="2"/>
  <c r="D59" i="3"/>
  <c r="E56" i="3"/>
  <c r="E58" i="3" s="1"/>
  <c r="E77" i="3"/>
  <c r="E79" i="3" s="1"/>
  <c r="D80" i="3"/>
  <c r="E95" i="4"/>
  <c r="E94" i="4"/>
  <c r="D110" i="2"/>
  <c r="D114" i="4"/>
  <c r="E114" i="5"/>
  <c r="E115" i="5" s="1"/>
  <c r="D116" i="5"/>
  <c r="E22" i="5"/>
  <c r="D22" i="4"/>
  <c r="D18" i="2"/>
  <c r="D70" i="3"/>
  <c r="D72" i="3" s="1"/>
  <c r="D57" i="4"/>
  <c r="D60" i="5"/>
  <c r="E57" i="5"/>
  <c r="D53" i="2"/>
  <c r="D102" i="5"/>
  <c r="D99" i="4"/>
  <c r="E99" i="5"/>
  <c r="D95" i="2"/>
  <c r="E25" i="2"/>
  <c r="D27" i="2"/>
  <c r="D136" i="3"/>
  <c r="E133" i="3"/>
  <c r="E135" i="3" s="1"/>
  <c r="E88" i="2"/>
  <c r="E43" i="4"/>
  <c r="D39" i="4"/>
  <c r="E36" i="4"/>
  <c r="E96" i="2"/>
  <c r="E113" i="3"/>
  <c r="D109" i="5"/>
  <c r="D106" i="4"/>
  <c r="D31" i="3"/>
  <c r="E106" i="5"/>
  <c r="E108" i="5" s="1"/>
  <c r="E100" i="4"/>
  <c r="D66" i="4"/>
  <c r="D67" i="5"/>
  <c r="E65" i="5"/>
  <c r="E66" i="5" s="1"/>
  <c r="E23" i="5"/>
  <c r="E100" i="5"/>
  <c r="E51" i="4"/>
  <c r="E52" i="4" s="1"/>
  <c r="D52" i="4"/>
  <c r="D42" i="2"/>
  <c r="E44" i="4"/>
  <c r="E44" i="5"/>
  <c r="E45" i="5" s="1"/>
  <c r="D27" i="12"/>
  <c r="D42" i="12"/>
  <c r="D51" i="12"/>
  <c r="D64" i="12"/>
  <c r="D12" i="1" l="1"/>
  <c r="E11" i="1"/>
  <c r="F97" i="1"/>
  <c r="E98" i="1"/>
  <c r="G130" i="1"/>
  <c r="G129" i="1"/>
  <c r="F121" i="1"/>
  <c r="F122" i="1"/>
  <c r="E73" i="1"/>
  <c r="F72" i="1"/>
  <c r="E78" i="1"/>
  <c r="F77" i="1"/>
  <c r="F78" i="1" s="1"/>
  <c r="E104" i="1"/>
  <c r="E105" i="1"/>
  <c r="E16" i="1"/>
  <c r="E17" i="1" s="1"/>
  <c r="F15" i="1"/>
  <c r="E64" i="1"/>
  <c r="D65" i="1"/>
  <c r="E21" i="1"/>
  <c r="D22" i="1"/>
  <c r="G60" i="1"/>
  <c r="G61" i="1" s="1"/>
  <c r="F61" i="1"/>
  <c r="F130" i="1"/>
  <c r="F129" i="1"/>
  <c r="G122" i="1"/>
  <c r="G121" i="1"/>
  <c r="D75" i="1"/>
  <c r="D74" i="1"/>
  <c r="F117" i="1"/>
  <c r="F118" i="1"/>
  <c r="E100" i="1"/>
  <c r="E101" i="1" s="1"/>
  <c r="F99" i="1"/>
  <c r="D47" i="1"/>
  <c r="E46" i="1"/>
  <c r="F136" i="1"/>
  <c r="E137" i="1"/>
  <c r="F51" i="1"/>
  <c r="E52" i="1"/>
  <c r="E53" i="1" s="1"/>
  <c r="D104" i="1"/>
  <c r="D105" i="1"/>
  <c r="G117" i="1"/>
  <c r="G118" i="1"/>
  <c r="F41" i="1"/>
  <c r="G40" i="1"/>
  <c r="G41" i="1" s="1"/>
  <c r="F103" i="1"/>
  <c r="G102" i="1"/>
  <c r="G103" i="1" s="1"/>
  <c r="F69" i="1"/>
  <c r="G68" i="1"/>
  <c r="G69" i="1" s="1"/>
  <c r="E58" i="1"/>
  <c r="E59" i="1" s="1"/>
  <c r="F57" i="1"/>
  <c r="E121" i="1"/>
  <c r="E122" i="1"/>
  <c r="F32" i="1"/>
  <c r="F33" i="1" s="1"/>
  <c r="F34" i="1"/>
  <c r="G31" i="1"/>
  <c r="E39" i="5"/>
  <c r="E65" i="3"/>
  <c r="D125" i="5"/>
  <c r="E54" i="5"/>
  <c r="D65" i="3"/>
  <c r="D54" i="4"/>
  <c r="D49" i="2"/>
  <c r="D50" i="2" s="1"/>
  <c r="E29" i="4"/>
  <c r="E31" i="4" s="1"/>
  <c r="E110" i="2"/>
  <c r="E112" i="2" s="1"/>
  <c r="E49" i="2"/>
  <c r="E51" i="2" s="1"/>
  <c r="D66" i="3"/>
  <c r="D67" i="3" s="1"/>
  <c r="E31" i="3"/>
  <c r="E33" i="3" s="1"/>
  <c r="D48" i="2"/>
  <c r="D122" i="4"/>
  <c r="D123" i="4"/>
  <c r="D124" i="4" s="1"/>
  <c r="E24" i="5"/>
  <c r="G27" i="1"/>
  <c r="E101" i="5"/>
  <c r="E95" i="5"/>
  <c r="E96" i="5" s="1"/>
  <c r="E94" i="5"/>
  <c r="E59" i="5"/>
  <c r="D31" i="4"/>
  <c r="D34" i="5"/>
  <c r="E32" i="5"/>
  <c r="E33" i="5" s="1"/>
  <c r="E31" i="5"/>
  <c r="D19" i="4"/>
  <c r="D110" i="3"/>
  <c r="D37" i="3"/>
  <c r="E66" i="3"/>
  <c r="E67" i="3" s="1"/>
  <c r="E35" i="3"/>
  <c r="E37" i="3" s="1"/>
  <c r="E44" i="3"/>
  <c r="F27" i="1"/>
  <c r="D122" i="3"/>
  <c r="D124" i="3" s="1"/>
  <c r="D121" i="3"/>
  <c r="D104" i="2"/>
  <c r="E112" i="3"/>
  <c r="E114" i="3" s="1"/>
  <c r="D114" i="3"/>
  <c r="D44" i="3"/>
  <c r="E17" i="4"/>
  <c r="E122" i="5"/>
  <c r="D91" i="2"/>
  <c r="D93" i="2" s="1"/>
  <c r="E97" i="5"/>
  <c r="E34" i="5"/>
  <c r="E28" i="1"/>
  <c r="E27" i="1"/>
  <c r="G18" i="1"/>
  <c r="G19" i="1" s="1"/>
  <c r="G20" i="1" s="1"/>
  <c r="F19" i="1"/>
  <c r="F20" i="1" s="1"/>
  <c r="F14" i="1"/>
  <c r="G13" i="1"/>
  <c r="G14" i="1" s="1"/>
  <c r="D45" i="3"/>
  <c r="D46" i="3" s="1"/>
  <c r="E45" i="3"/>
  <c r="E46" i="3" s="1"/>
  <c r="D105" i="2"/>
  <c r="D119" i="2"/>
  <c r="D118" i="2"/>
  <c r="E119" i="2"/>
  <c r="D96" i="4"/>
  <c r="D97" i="4"/>
  <c r="E123" i="5"/>
  <c r="D33" i="4"/>
  <c r="D34" i="4"/>
  <c r="E108" i="3"/>
  <c r="E122" i="3"/>
  <c r="D69" i="5"/>
  <c r="D68" i="5"/>
  <c r="D111" i="5"/>
  <c r="D110" i="5"/>
  <c r="E20" i="4"/>
  <c r="E19" i="4"/>
  <c r="E50" i="3"/>
  <c r="E51" i="3" s="1"/>
  <c r="D52" i="3"/>
  <c r="E33" i="2"/>
  <c r="D35" i="2"/>
  <c r="D34" i="2"/>
  <c r="E45" i="4"/>
  <c r="E46" i="4"/>
  <c r="E136" i="3"/>
  <c r="D29" i="2"/>
  <c r="D30" i="2"/>
  <c r="E102" i="5"/>
  <c r="D56" i="2"/>
  <c r="E53" i="2"/>
  <c r="D55" i="2"/>
  <c r="D25" i="4"/>
  <c r="E22" i="4"/>
  <c r="D24" i="4"/>
  <c r="D118" i="5"/>
  <c r="D117" i="5"/>
  <c r="E96" i="4"/>
  <c r="E97" i="4"/>
  <c r="E109" i="5"/>
  <c r="D44" i="2"/>
  <c r="D43" i="2"/>
  <c r="D111" i="2"/>
  <c r="D41" i="5"/>
  <c r="D46" i="4"/>
  <c r="E90" i="2"/>
  <c r="E91" i="2"/>
  <c r="D137" i="3"/>
  <c r="D138" i="3"/>
  <c r="E27" i="2"/>
  <c r="E28" i="2"/>
  <c r="D101" i="4"/>
  <c r="E99" i="4"/>
  <c r="D102" i="4"/>
  <c r="E60" i="5"/>
  <c r="D73" i="3"/>
  <c r="E70" i="3"/>
  <c r="E72" i="3" s="1"/>
  <c r="E25" i="5"/>
  <c r="E116" i="5"/>
  <c r="E123" i="4"/>
  <c r="E122" i="4"/>
  <c r="E80" i="3"/>
  <c r="E104" i="2"/>
  <c r="E105" i="2"/>
  <c r="E53" i="4"/>
  <c r="D38" i="3"/>
  <c r="D47" i="5"/>
  <c r="D48" i="5"/>
  <c r="D41" i="2"/>
  <c r="E40" i="2"/>
  <c r="D67" i="4"/>
  <c r="E65" i="4"/>
  <c r="D32" i="3"/>
  <c r="D33" i="3"/>
  <c r="D108" i="4"/>
  <c r="E106" i="4"/>
  <c r="D109" i="4"/>
  <c r="D112" i="2"/>
  <c r="D41" i="4"/>
  <c r="D40" i="4"/>
  <c r="D61" i="5"/>
  <c r="D62" i="5"/>
  <c r="D20" i="2"/>
  <c r="E18" i="2"/>
  <c r="D21" i="2"/>
  <c r="D26" i="5"/>
  <c r="D27" i="5"/>
  <c r="E59" i="3"/>
  <c r="E46" i="5"/>
  <c r="E67" i="5"/>
  <c r="E61" i="2"/>
  <c r="D63" i="2"/>
  <c r="D62" i="2"/>
  <c r="E40" i="5"/>
  <c r="E41" i="5"/>
  <c r="E37" i="4"/>
  <c r="E39" i="4" s="1"/>
  <c r="D38" i="4"/>
  <c r="D45" i="4"/>
  <c r="D98" i="2"/>
  <c r="D97" i="2"/>
  <c r="E95" i="2"/>
  <c r="D104" i="5"/>
  <c r="D103" i="5"/>
  <c r="D59" i="4"/>
  <c r="E57" i="4"/>
  <c r="D60" i="4"/>
  <c r="E127" i="3"/>
  <c r="E128" i="3" s="1"/>
  <c r="D129" i="3"/>
  <c r="D115" i="4"/>
  <c r="E114" i="4"/>
  <c r="D116" i="4"/>
  <c r="D81" i="3"/>
  <c r="D82" i="3"/>
  <c r="D60" i="3"/>
  <c r="D61" i="3"/>
  <c r="D115" i="3"/>
  <c r="G104" i="1" l="1"/>
  <c r="G105" i="1"/>
  <c r="F62" i="1"/>
  <c r="F63" i="1"/>
  <c r="F73" i="1"/>
  <c r="G72" i="1"/>
  <c r="G73" i="1" s="1"/>
  <c r="G71" i="1"/>
  <c r="G70" i="1"/>
  <c r="E139" i="1"/>
  <c r="E138" i="1"/>
  <c r="F100" i="1"/>
  <c r="F101" i="1" s="1"/>
  <c r="G99" i="1"/>
  <c r="G100" i="1" s="1"/>
  <c r="G101" i="1" s="1"/>
  <c r="D24" i="1"/>
  <c r="D23" i="1"/>
  <c r="F16" i="1"/>
  <c r="F17" i="1" s="1"/>
  <c r="G15" i="1"/>
  <c r="G16" i="1" s="1"/>
  <c r="G17" i="1" s="1"/>
  <c r="G57" i="1"/>
  <c r="G58" i="1" s="1"/>
  <c r="G59" i="1" s="1"/>
  <c r="F58" i="1"/>
  <c r="F59" i="1" s="1"/>
  <c r="E47" i="1"/>
  <c r="F46" i="1"/>
  <c r="E12" i="1"/>
  <c r="F11" i="1"/>
  <c r="F52" i="1"/>
  <c r="F53" i="1" s="1"/>
  <c r="G51" i="1"/>
  <c r="G52" i="1" s="1"/>
  <c r="G53" i="1" s="1"/>
  <c r="G32" i="1"/>
  <c r="G33" i="1" s="1"/>
  <c r="G29" i="1"/>
  <c r="G30" i="1" s="1"/>
  <c r="F71" i="1"/>
  <c r="F70" i="1"/>
  <c r="F137" i="1"/>
  <c r="G136" i="1"/>
  <c r="G137" i="1" s="1"/>
  <c r="F21" i="1"/>
  <c r="E22" i="1"/>
  <c r="G97" i="1"/>
  <c r="G98" i="1" s="1"/>
  <c r="F98" i="1"/>
  <c r="F35" i="1"/>
  <c r="G34" i="1"/>
  <c r="G35" i="1" s="1"/>
  <c r="D67" i="1"/>
  <c r="D66" i="1"/>
  <c r="F105" i="1"/>
  <c r="F104" i="1"/>
  <c r="G62" i="1"/>
  <c r="G63" i="1"/>
  <c r="E65" i="1"/>
  <c r="F64" i="1"/>
  <c r="E74" i="1"/>
  <c r="E75" i="1"/>
  <c r="E50" i="2"/>
  <c r="D68" i="3"/>
  <c r="D51" i="2"/>
  <c r="E111" i="2"/>
  <c r="E32" i="3"/>
  <c r="D125" i="4"/>
  <c r="E32" i="4"/>
  <c r="E33" i="4" s="1"/>
  <c r="D92" i="2"/>
  <c r="E68" i="3"/>
  <c r="D123" i="3"/>
  <c r="E38" i="3"/>
  <c r="E39" i="3" s="1"/>
  <c r="E115" i="3"/>
  <c r="E116" i="3" s="1"/>
  <c r="D47" i="3"/>
  <c r="E47" i="3"/>
  <c r="D106" i="2"/>
  <c r="D107" i="2"/>
  <c r="E124" i="5"/>
  <c r="E125" i="5"/>
  <c r="E120" i="2"/>
  <c r="E121" i="2"/>
  <c r="D121" i="2"/>
  <c r="D120" i="2"/>
  <c r="E110" i="3"/>
  <c r="E109" i="3"/>
  <c r="E123" i="3"/>
  <c r="E124" i="3"/>
  <c r="E40" i="4"/>
  <c r="E41" i="4"/>
  <c r="D116" i="3"/>
  <c r="D117" i="3"/>
  <c r="E115" i="4"/>
  <c r="E116" i="4"/>
  <c r="E129" i="3"/>
  <c r="D99" i="2"/>
  <c r="D100" i="2"/>
  <c r="D65" i="2"/>
  <c r="D64" i="2"/>
  <c r="D23" i="2"/>
  <c r="D22" i="2"/>
  <c r="E42" i="2"/>
  <c r="E41" i="2"/>
  <c r="D40" i="3"/>
  <c r="D39" i="3"/>
  <c r="E106" i="2"/>
  <c r="E107" i="2"/>
  <c r="E26" i="5"/>
  <c r="E27" i="5"/>
  <c r="D75" i="3"/>
  <c r="D74" i="3"/>
  <c r="E102" i="4"/>
  <c r="E101" i="4"/>
  <c r="D48" i="4"/>
  <c r="D47" i="4"/>
  <c r="D36" i="2"/>
  <c r="D37" i="2"/>
  <c r="E52" i="3"/>
  <c r="D62" i="4"/>
  <c r="D61" i="4"/>
  <c r="E38" i="4"/>
  <c r="E62" i="2"/>
  <c r="E63" i="2"/>
  <c r="E47" i="5"/>
  <c r="E48" i="5"/>
  <c r="E60" i="3"/>
  <c r="E61" i="3"/>
  <c r="E21" i="2"/>
  <c r="E20" i="2"/>
  <c r="D111" i="4"/>
  <c r="D110" i="4"/>
  <c r="E125" i="4"/>
  <c r="E124" i="4"/>
  <c r="E61" i="5"/>
  <c r="E62" i="5"/>
  <c r="E55" i="2"/>
  <c r="E56" i="2"/>
  <c r="E47" i="4"/>
  <c r="E48" i="4"/>
  <c r="E34" i="2"/>
  <c r="E35" i="2"/>
  <c r="E59" i="4"/>
  <c r="E60" i="4"/>
  <c r="E97" i="2"/>
  <c r="E98" i="2"/>
  <c r="E108" i="4"/>
  <c r="E109" i="4"/>
  <c r="E66" i="4"/>
  <c r="E67" i="4"/>
  <c r="E81" i="3"/>
  <c r="E82" i="3"/>
  <c r="E30" i="2"/>
  <c r="E29" i="2"/>
  <c r="E92" i="2"/>
  <c r="E93" i="2"/>
  <c r="E110" i="5"/>
  <c r="E111" i="5"/>
  <c r="E24" i="4"/>
  <c r="E25" i="4"/>
  <c r="D57" i="2"/>
  <c r="D58" i="2"/>
  <c r="D54" i="3"/>
  <c r="D53" i="3"/>
  <c r="E113" i="2"/>
  <c r="E114" i="2"/>
  <c r="D117" i="4"/>
  <c r="D118" i="4"/>
  <c r="D131" i="3"/>
  <c r="D130" i="3"/>
  <c r="E68" i="5"/>
  <c r="E69" i="5"/>
  <c r="D114" i="2"/>
  <c r="D113" i="2"/>
  <c r="D69" i="4"/>
  <c r="D68" i="4"/>
  <c r="E54" i="4"/>
  <c r="E55" i="4"/>
  <c r="E117" i="5"/>
  <c r="E118" i="5"/>
  <c r="E73" i="3"/>
  <c r="D104" i="4"/>
  <c r="D103" i="4"/>
  <c r="D26" i="4"/>
  <c r="D27" i="4"/>
  <c r="E103" i="5"/>
  <c r="E104" i="5"/>
  <c r="E137" i="3"/>
  <c r="E138" i="3"/>
  <c r="F75" i="1" l="1"/>
  <c r="F74" i="1"/>
  <c r="G37" i="1"/>
  <c r="G36" i="1"/>
  <c r="E24" i="1"/>
  <c r="E23" i="1"/>
  <c r="F47" i="1"/>
  <c r="G46" i="1"/>
  <c r="G47" i="1" s="1"/>
  <c r="F139" i="1"/>
  <c r="F138" i="1"/>
  <c r="F65" i="1"/>
  <c r="G64" i="1"/>
  <c r="G65" i="1" s="1"/>
  <c r="E66" i="1"/>
  <c r="E67" i="1"/>
  <c r="F37" i="1"/>
  <c r="F36" i="1"/>
  <c r="F22" i="1"/>
  <c r="G21" i="1"/>
  <c r="G22" i="1" s="1"/>
  <c r="G139" i="1"/>
  <c r="G138" i="1"/>
  <c r="F12" i="1"/>
  <c r="G11" i="1"/>
  <c r="G12" i="1" s="1"/>
  <c r="G74" i="1"/>
  <c r="G75" i="1"/>
  <c r="E34" i="4"/>
  <c r="E117" i="3"/>
  <c r="E40" i="3"/>
  <c r="E23" i="2"/>
  <c r="E22" i="2"/>
  <c r="E118" i="4"/>
  <c r="E117" i="4"/>
  <c r="E110" i="4"/>
  <c r="E111" i="4"/>
  <c r="E99" i="2"/>
  <c r="E100" i="2"/>
  <c r="E65" i="2"/>
  <c r="E64" i="2"/>
  <c r="E104" i="4"/>
  <c r="E103" i="4"/>
  <c r="E54" i="3"/>
  <c r="E53" i="3"/>
  <c r="E130" i="3"/>
  <c r="E131" i="3"/>
  <c r="E75" i="3"/>
  <c r="E74" i="3"/>
  <c r="E27" i="4"/>
  <c r="E26" i="4"/>
  <c r="E68" i="4"/>
  <c r="E69" i="4"/>
  <c r="E61" i="4"/>
  <c r="E62" i="4"/>
  <c r="E36" i="2"/>
  <c r="E37" i="2"/>
  <c r="E58" i="2"/>
  <c r="E57" i="2"/>
  <c r="E43" i="2"/>
  <c r="E44" i="2"/>
  <c r="G24" i="1" l="1"/>
  <c r="G23" i="1"/>
  <c r="F23" i="1"/>
  <c r="F24" i="1"/>
  <c r="G66" i="1"/>
  <c r="G67" i="1"/>
  <c r="F66" i="1"/>
  <c r="F67" i="1"/>
  <c r="D13" i="13"/>
  <c r="D14" i="13"/>
  <c r="E11" i="13"/>
  <c r="E13" i="13" s="1"/>
  <c r="E14" i="13" l="1"/>
  <c r="E16" i="13" s="1"/>
  <c r="E15" i="13" l="1"/>
</calcChain>
</file>

<file path=xl/sharedStrings.xml><?xml version="1.0" encoding="utf-8"?>
<sst xmlns="http://schemas.openxmlformats.org/spreadsheetml/2006/main" count="2700" uniqueCount="1776">
  <si>
    <t>Продукт</t>
  </si>
  <si>
    <t>Part №</t>
  </si>
  <si>
    <t>Цена для конечного пользователя</t>
  </si>
  <si>
    <t>В т.ч. НДС</t>
  </si>
  <si>
    <t>НДС не облагается</t>
  </si>
  <si>
    <t>ОС Windows (Vista, Windows 7, Windows 8.x, Windows 10)</t>
  </si>
  <si>
    <t>Программно-аппаратный комплекс защиты  АРМ от несанкционированного доступа с устройством блокировки каналов HDD  и вычислительной подсистемой</t>
  </si>
  <si>
    <t>Программно-аппаратный комплекс защиты  АРМ от несанкционированного доступа в минимальной комплектации</t>
  </si>
  <si>
    <t>Программно-аппаратный комплекс защиты  АРМ от несанкционированного доступа без вычислительной подсистемы и устройства блокировки каналов</t>
  </si>
  <si>
    <t>Специальные модули</t>
  </si>
  <si>
    <t>Модуль Deep Virtual Secure для «Diamond ACS HW» PCI/PCI-E/mPCI-E</t>
  </si>
  <si>
    <t>Модуль коммутации Ethernet для «Diamond ACS HW» PCI/PCI-E</t>
  </si>
  <si>
    <t>Модуль коммутации Ethernet портов</t>
  </si>
  <si>
    <t>№</t>
  </si>
  <si>
    <t xml:space="preserve"> 4 x GbE RJ45 </t>
  </si>
  <si>
    <t xml:space="preserve"> 4 x GbE RJ45 with 2 pair Bypass</t>
  </si>
  <si>
    <t xml:space="preserve"> 4 x GbE SFP</t>
  </si>
  <si>
    <t xml:space="preserve"> 4 x GbE SFP with 2 pair Fiber Bypass</t>
  </si>
  <si>
    <t xml:space="preserve"> 2 x 10G RJ45 </t>
  </si>
  <si>
    <t xml:space="preserve"> 2 x 10G RJ45 with 1 pair Bypass</t>
  </si>
  <si>
    <t xml:space="preserve"> 2 x 10G SFP+</t>
  </si>
  <si>
    <t xml:space="preserve"> 2 x 10G SFP+ with 1 pair Fiber Bypass</t>
  </si>
  <si>
    <t xml:space="preserve"> 4 x 10G SFP+</t>
  </si>
  <si>
    <t xml:space="preserve"> 8 x GbE RJ45</t>
  </si>
  <si>
    <t xml:space="preserve"> 8 x GbE RJ45 with 4 pair Bypass</t>
  </si>
  <si>
    <t xml:space="preserve"> 2 x 40G QSFP+</t>
  </si>
  <si>
    <t xml:space="preserve"> 8 x GbE SFP</t>
  </si>
  <si>
    <t xml:space="preserve">Трансивер SFP </t>
  </si>
  <si>
    <t>1Gb</t>
  </si>
  <si>
    <t>Трансивер SFP+</t>
  </si>
  <si>
    <t>10 Gb</t>
  </si>
  <si>
    <t>Трансивер QSFP+</t>
  </si>
  <si>
    <t>40 Gb</t>
  </si>
  <si>
    <t>Установочные комплекты</t>
  </si>
  <si>
    <t>Формуляр, установочный диск</t>
  </si>
  <si>
    <t>Фирменная коробка, формуляр формата А5, USB-носитель с дистрибутивными файлами и эксплуатационной документацией.</t>
  </si>
  <si>
    <t>Фирменная коробка, формуляр формата А5, USB-носитель с дистрибутивными файлами и эксплуатационной документацией</t>
  </si>
  <si>
    <t>Фирменная коробка, формуляр формата А5, USB-носитель сдистрибутивными файлами и эксплуатационной документацией</t>
  </si>
  <si>
    <t>Сертифицированный установочный комплект OEM. МКСЗ «Diamond VPN/FW».</t>
  </si>
  <si>
    <t>Сертифицированный установочный комплект. МКСЗ «Diamond VPN/FW».</t>
  </si>
  <si>
    <t>ООО "ТСС"
ОГРН 1097746263944
ИНН 7719723403, КПП 503801001
141290, Московская обл.,
г.Красноармейск, ул. Чкалова,
дом 8, помещение 9
тел.+7 (495) 120-12-84</t>
  </si>
  <si>
    <t xml:space="preserve">Аппаратные модули для СКРД «Diamond ACS». </t>
  </si>
  <si>
    <r>
      <t>Специализированный вычислительный модуль</t>
    </r>
    <r>
      <rPr>
        <b/>
        <sz val="10"/>
        <color theme="1"/>
        <rFont val="Tahoma"/>
        <family val="2"/>
        <charset val="204"/>
      </rPr>
      <t xml:space="preserve"> «Diamond USB Key Lt»</t>
    </r>
    <r>
      <rPr>
        <sz val="10"/>
        <color theme="1"/>
        <rFont val="Tahoma"/>
        <family val="2"/>
        <charset val="204"/>
      </rPr>
      <t>. Носитель ключевой и идентифицирующей информации</t>
    </r>
    <r>
      <rPr>
        <b/>
        <sz val="10"/>
        <color theme="1"/>
        <rFont val="Tahoma"/>
        <family val="2"/>
        <charset val="204"/>
      </rPr>
      <t xml:space="preserve"> </t>
    </r>
  </si>
  <si>
    <t>Лицензия на право использования консоли администрирования «Diamond ACS Management» на 1 год</t>
  </si>
  <si>
    <t>Лицензия на право использования консоли администрирования «Diamond ACS Management». Бессрочно</t>
  </si>
  <si>
    <t>1.1</t>
  </si>
  <si>
    <t>1.2</t>
  </si>
  <si>
    <t>AA-1-101</t>
  </si>
  <si>
    <t>Лицензия на право использования  дополнительной консоли администрирования «Diamond ACS Management Server» на 1 год</t>
  </si>
  <si>
    <t>Лицензия на право использования  дополнительной консоли администрирования «Diamond ACS Management Server» на 3 года</t>
  </si>
  <si>
    <t>Лицензия на право использования  дополнительной консоли администрирования «Diamond ACS Management Server». Бессрочно</t>
  </si>
  <si>
    <t>Цена за 1-50 шт.</t>
  </si>
  <si>
    <t>Цена за 51-250 шт.</t>
  </si>
  <si>
    <t>Цена за 251-500 шт.</t>
  </si>
  <si>
    <t>Цена за 501 и более шт.</t>
  </si>
  <si>
    <t>1.3</t>
  </si>
  <si>
    <t>2.1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</si>
  <si>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</si>
  <si>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</si>
  <si>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</si>
  <si>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</si>
  <si>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</si>
  <si>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</si>
  <si>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</si>
  <si>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</si>
  <si>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</si>
  <si>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</si>
  <si>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</si>
  <si>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</si>
  <si>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</si>
  <si>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</si>
  <si>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</si>
  <si>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</si>
  <si>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</si>
  <si>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</si>
  <si>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9.1</t>
  </si>
  <si>
    <t>9.2</t>
  </si>
  <si>
    <t>9.3</t>
  </si>
  <si>
    <t>10.1</t>
  </si>
  <si>
    <t>10.2</t>
  </si>
  <si>
    <t>10.3</t>
  </si>
  <si>
    <t>11.1</t>
  </si>
  <si>
    <t>11.2</t>
  </si>
  <si>
    <t>11.3</t>
  </si>
  <si>
    <t>12.1</t>
  </si>
  <si>
    <t>12.2</t>
  </si>
  <si>
    <t>12.3</t>
  </si>
  <si>
    <t>13.1</t>
  </si>
  <si>
    <t>13.2</t>
  </si>
  <si>
    <t>13.3</t>
  </si>
  <si>
    <t>14.1</t>
  </si>
  <si>
    <t>14.2</t>
  </si>
  <si>
    <t>14.3</t>
  </si>
  <si>
    <t>15.1</t>
  </si>
  <si>
    <t>15.2</t>
  </si>
  <si>
    <t>15.3</t>
  </si>
  <si>
    <t>2.2</t>
  </si>
  <si>
    <t>2.3</t>
  </si>
  <si>
    <t>АА-1-301</t>
  </si>
  <si>
    <t>АА-1-001</t>
  </si>
  <si>
    <t>AB-1-101</t>
  </si>
  <si>
    <t>AB-1-102</t>
  </si>
  <si>
    <t>AB-1-103</t>
  </si>
  <si>
    <t>AB-1-104</t>
  </si>
  <si>
    <t>AB-1-301</t>
  </si>
  <si>
    <t>CA-0-101</t>
  </si>
  <si>
    <t>CA-0-102</t>
  </si>
  <si>
    <t>CA-0-103</t>
  </si>
  <si>
    <t>CB-0-104</t>
  </si>
  <si>
    <t>AB-1-302</t>
  </si>
  <si>
    <t>AB-1-303</t>
  </si>
  <si>
    <t>AB-1-304</t>
  </si>
  <si>
    <t>CA-0-104</t>
  </si>
  <si>
    <t>AB-1-001</t>
  </si>
  <si>
    <t>AB-1-002</t>
  </si>
  <si>
    <t>AB-1-003</t>
  </si>
  <si>
    <t>AB-1-004</t>
  </si>
  <si>
    <t>AB-1-105</t>
  </si>
  <si>
    <t>CA-0-105</t>
  </si>
  <si>
    <t>CA-0-106</t>
  </si>
  <si>
    <t>CA-0-107</t>
  </si>
  <si>
    <t>AB-1-107</t>
  </si>
  <si>
    <t>AB-1-305</t>
  </si>
  <si>
    <t>CA-0-108</t>
  </si>
  <si>
    <t>CA-0-109</t>
  </si>
  <si>
    <t>CA-0-110</t>
  </si>
  <si>
    <t>CA-0-111</t>
  </si>
  <si>
    <t>CA-0-112</t>
  </si>
  <si>
    <t>CA-0-113</t>
  </si>
  <si>
    <t>CA-0-114</t>
  </si>
  <si>
    <t>CA-0-115</t>
  </si>
  <si>
    <t>CA-0-116</t>
  </si>
  <si>
    <t>CA-0-117</t>
  </si>
  <si>
    <t>CA-0-118</t>
  </si>
  <si>
    <t>AB-1-005</t>
  </si>
  <si>
    <t>AB-0-106</t>
  </si>
  <si>
    <t>AB-1-306</t>
  </si>
  <si>
    <t>AB-1-006</t>
  </si>
  <si>
    <t>CA-0-119</t>
  </si>
  <si>
    <t>CA-0-121</t>
  </si>
  <si>
    <t>AB-1-307</t>
  </si>
  <si>
    <t>CA-0-122</t>
  </si>
  <si>
    <t>AB-1-007</t>
  </si>
  <si>
    <t>CA-0-123</t>
  </si>
  <si>
    <t>CA-0-120</t>
  </si>
  <si>
    <t>CA-0-124</t>
  </si>
  <si>
    <t>АА-1-102</t>
  </si>
  <si>
    <t>АА-1-302</t>
  </si>
  <si>
    <t>АА-1-002</t>
  </si>
  <si>
    <t>AC-2-001</t>
  </si>
  <si>
    <t>AC-2-002</t>
  </si>
  <si>
    <t>AC-2-003</t>
  </si>
  <si>
    <t>AC-2-004</t>
  </si>
  <si>
    <t>AC-2-005</t>
  </si>
  <si>
    <t>AC-2-006</t>
  </si>
  <si>
    <t>BA-1-004</t>
  </si>
  <si>
    <t>BA-3-004</t>
  </si>
  <si>
    <t>BA-1-007</t>
  </si>
  <si>
    <t>BA-3-007</t>
  </si>
  <si>
    <t>BA-1-010</t>
  </si>
  <si>
    <t>BA-3-010</t>
  </si>
  <si>
    <t>BA-1-014</t>
  </si>
  <si>
    <t>BA-3-014</t>
  </si>
  <si>
    <t>BA-1-015</t>
  </si>
  <si>
    <t>BA-3-015</t>
  </si>
  <si>
    <t>BA-1-019</t>
  </si>
  <si>
    <t>BA-3-019</t>
  </si>
  <si>
    <t>BA-1-024</t>
  </si>
  <si>
    <t>BA-3-024</t>
  </si>
  <si>
    <t>BA-1-027</t>
  </si>
  <si>
    <t>BA-3-027</t>
  </si>
  <si>
    <t>BA-1-032</t>
  </si>
  <si>
    <t>BA-3-032</t>
  </si>
  <si>
    <t>BA-1-038</t>
  </si>
  <si>
    <t>BA-3-038</t>
  </si>
  <si>
    <t>BA-1-046</t>
  </si>
  <si>
    <t>BA-3-046</t>
  </si>
  <si>
    <t>BA-1-047</t>
  </si>
  <si>
    <t>BA-3-047</t>
  </si>
  <si>
    <t>AF-0-001</t>
  </si>
  <si>
    <t>AF-0-002</t>
  </si>
  <si>
    <t>AF-0-003</t>
  </si>
  <si>
    <t>AF-0-004</t>
  </si>
  <si>
    <t>BG-0-001</t>
  </si>
  <si>
    <t>BG-0-002</t>
  </si>
  <si>
    <t>BG-0-003</t>
  </si>
  <si>
    <t>BB-1-001</t>
  </si>
  <si>
    <t>BB-1-002</t>
  </si>
  <si>
    <t>BB-3-001</t>
  </si>
  <si>
    <t>BB-1-005</t>
  </si>
  <si>
    <t>BB-3-004</t>
  </si>
  <si>
    <t>BB-1-008</t>
  </si>
  <si>
    <t>BB-3-007</t>
  </si>
  <si>
    <t>BB-1-011</t>
  </si>
  <si>
    <t>BB-3-010</t>
  </si>
  <si>
    <t>BB-1-015</t>
  </si>
  <si>
    <t>BB-3-014</t>
  </si>
  <si>
    <t>BB-1-016</t>
  </si>
  <si>
    <t>BB-3-015</t>
  </si>
  <si>
    <t>BB-1-020</t>
  </si>
  <si>
    <t>BB-3-019</t>
  </si>
  <si>
    <t>BB-1-025</t>
  </si>
  <si>
    <t>BB-3-024</t>
  </si>
  <si>
    <t>BB-1-028</t>
  </si>
  <si>
    <t>BB-3-027</t>
  </si>
  <si>
    <t>BB-1-033</t>
  </si>
  <si>
    <t>BB-3-032</t>
  </si>
  <si>
    <t>BB-1-039</t>
  </si>
  <si>
    <t>BB-3-038</t>
  </si>
  <si>
    <t>BB-1-047</t>
  </si>
  <si>
    <t>BB-3-046</t>
  </si>
  <si>
    <t>BB-1-048</t>
  </si>
  <si>
    <t>BB-3-047</t>
  </si>
  <si>
    <t>BC-1-001</t>
  </si>
  <si>
    <t>BC-3-001</t>
  </si>
  <si>
    <t>BC-1-002</t>
  </si>
  <si>
    <t>BC-3-004</t>
  </si>
  <si>
    <t>BC-1-005</t>
  </si>
  <si>
    <t>BC-3-007</t>
  </si>
  <si>
    <t>BC-1-008</t>
  </si>
  <si>
    <t>BC-3-010</t>
  </si>
  <si>
    <t>BC-1-011</t>
  </si>
  <si>
    <t>BC-3-014</t>
  </si>
  <si>
    <t>BC-1-015</t>
  </si>
  <si>
    <t>BC-3-015</t>
  </si>
  <si>
    <t>BC-1-016</t>
  </si>
  <si>
    <t>BC-3-019</t>
  </si>
  <si>
    <t>BC-1-020</t>
  </si>
  <si>
    <t>BC-3-024</t>
  </si>
  <si>
    <t>BC-1-025</t>
  </si>
  <si>
    <t>BC-3-027</t>
  </si>
  <si>
    <t>BC-1-028</t>
  </si>
  <si>
    <t>BC-3-032</t>
  </si>
  <si>
    <t>BC-1-033</t>
  </si>
  <si>
    <t>BC-3-038</t>
  </si>
  <si>
    <t>BC-1-039</t>
  </si>
  <si>
    <t>BC-3-046</t>
  </si>
  <si>
    <t>BC-1-047</t>
  </si>
  <si>
    <t>BC-3-047</t>
  </si>
  <si>
    <t>BC-1-048</t>
  </si>
  <si>
    <t>CB-0-107</t>
  </si>
  <si>
    <t>CB-0-110</t>
  </si>
  <si>
    <t>CB-0-114</t>
  </si>
  <si>
    <t>CB-0-115</t>
  </si>
  <si>
    <t>CB-0-119</t>
  </si>
  <si>
    <t>CB-0-124</t>
  </si>
  <si>
    <t>CB-0-127</t>
  </si>
  <si>
    <t>CB-0-132</t>
  </si>
  <si>
    <t>CB-0-138</t>
  </si>
  <si>
    <t>BD-1-005</t>
  </si>
  <si>
    <t>BD-3-004</t>
  </si>
  <si>
    <t>BD-1-008</t>
  </si>
  <si>
    <t>BD-3-007</t>
  </si>
  <si>
    <t>BD-1-011</t>
  </si>
  <si>
    <t>BD-3-010</t>
  </si>
  <si>
    <t>BD-1-015</t>
  </si>
  <si>
    <t>BD-3-014</t>
  </si>
  <si>
    <t>BD-1-016</t>
  </si>
  <si>
    <t>BD-3-015</t>
  </si>
  <si>
    <t>BD-1-020</t>
  </si>
  <si>
    <t>BD-3-019</t>
  </si>
  <si>
    <t>BD-1-025</t>
  </si>
  <si>
    <t>BD-3-024</t>
  </si>
  <si>
    <t>BD-1-028</t>
  </si>
  <si>
    <t>BD-3-027</t>
  </si>
  <si>
    <t>BD-1-033</t>
  </si>
  <si>
    <t>BD-3-032</t>
  </si>
  <si>
    <t>BD-1-039</t>
  </si>
  <si>
    <t>BD-3-038</t>
  </si>
  <si>
    <t>BD-1-047</t>
  </si>
  <si>
    <t>BD-3-046</t>
  </si>
  <si>
    <t>BD-1-048</t>
  </si>
  <si>
    <t>BD-3-047</t>
  </si>
  <si>
    <t>CB-0-146</t>
  </si>
  <si>
    <t>CB-0-147</t>
  </si>
  <si>
    <t>BE-2-001</t>
  </si>
  <si>
    <t>BE-1-001</t>
  </si>
  <si>
    <t>BE-3-001</t>
  </si>
  <si>
    <t>CD-0-101</t>
  </si>
  <si>
    <t>CD-0-102</t>
  </si>
  <si>
    <t>CD-0-105</t>
  </si>
  <si>
    <t>CD-0-108</t>
  </si>
  <si>
    <t>CD-0-111</t>
  </si>
  <si>
    <t>CD-0-115</t>
  </si>
  <si>
    <t>CD-0-116</t>
  </si>
  <si>
    <t>CD-0-120</t>
  </si>
  <si>
    <t>CD-0-125</t>
  </si>
  <si>
    <t>CD-0-128</t>
  </si>
  <si>
    <t>CD-0-133</t>
  </si>
  <si>
    <t>CD-0-139</t>
  </si>
  <si>
    <t>CC-0-101</t>
  </si>
  <si>
    <t>CC-0-102</t>
  </si>
  <si>
    <t>CC-0-105</t>
  </si>
  <si>
    <t>CC-0-108</t>
  </si>
  <si>
    <t>CC-0-111</t>
  </si>
  <si>
    <t>CC-0-115</t>
  </si>
  <si>
    <t>CC-0-116</t>
  </si>
  <si>
    <t>CC-0-120</t>
  </si>
  <si>
    <t>CC-0-125</t>
  </si>
  <si>
    <t>CC-0-128</t>
  </si>
  <si>
    <t>CC-0-133</t>
  </si>
  <si>
    <t>CC-0-139</t>
  </si>
  <si>
    <t>CC-0-147</t>
  </si>
  <si>
    <t>CC-0-148</t>
  </si>
  <si>
    <t>CD-0-147</t>
  </si>
  <si>
    <t>CD-0-148</t>
  </si>
  <si>
    <t>CE-0-147</t>
  </si>
  <si>
    <t>CE-0-148</t>
  </si>
  <si>
    <t>CE-0-105</t>
  </si>
  <si>
    <t>CE-0-108</t>
  </si>
  <si>
    <t>CE-0-111</t>
  </si>
  <si>
    <t>CE-0-115</t>
  </si>
  <si>
    <t>CE-0-116</t>
  </si>
  <si>
    <t>CE-0-120</t>
  </si>
  <si>
    <t>CE-0-125</t>
  </si>
  <si>
    <t>CE-0-128</t>
  </si>
  <si>
    <t>CE-0-133</t>
  </si>
  <si>
    <t>CE-0-139</t>
  </si>
  <si>
    <t>CF-0-101</t>
  </si>
  <si>
    <t>CA-0-125</t>
  </si>
  <si>
    <t>CA-0-126</t>
  </si>
  <si>
    <t>CA-0-127</t>
  </si>
  <si>
    <t>CA-0-128</t>
  </si>
  <si>
    <t>CA-0-129</t>
  </si>
  <si>
    <t>CA-0-130</t>
  </si>
  <si>
    <t>BF-2-001</t>
  </si>
  <si>
    <t>BF-2-002</t>
  </si>
  <si>
    <t>BF-2-003</t>
  </si>
  <si>
    <t>BF-2-004</t>
  </si>
  <si>
    <t>BF-2-006</t>
  </si>
  <si>
    <t>BF-2-005</t>
  </si>
  <si>
    <t>BF-2-007</t>
  </si>
  <si>
    <t>BF-2-008</t>
  </si>
  <si>
    <t>BF-2-009</t>
  </si>
  <si>
    <t>BF-2-010</t>
  </si>
  <si>
    <t>BF-2-011</t>
  </si>
  <si>
    <t>BF-2-012</t>
  </si>
  <si>
    <t>BF-2-013</t>
  </si>
  <si>
    <t>BF-2-016</t>
  </si>
  <si>
    <t>BF-2-017</t>
  </si>
  <si>
    <t>BF-2-018</t>
  </si>
  <si>
    <t>BF-2-019</t>
  </si>
  <si>
    <t>BF-2-020</t>
  </si>
  <si>
    <t>BF-2-021</t>
  </si>
  <si>
    <t>CG-0-101</t>
  </si>
  <si>
    <t>CG-0-102</t>
  </si>
  <si>
    <t>CG-0-103</t>
  </si>
  <si>
    <t>CG-0-104</t>
  </si>
  <si>
    <t>CG-0-105</t>
  </si>
  <si>
    <t>CG-0-106</t>
  </si>
  <si>
    <t>CG-0-107</t>
  </si>
  <si>
    <t>CG-0-108</t>
  </si>
  <si>
    <t>CG-0-109</t>
  </si>
  <si>
    <t>CA-0-131</t>
  </si>
  <si>
    <t>CA-0-132</t>
  </si>
  <si>
    <t>CA-0-133</t>
  </si>
  <si>
    <t>DA-1-101</t>
  </si>
  <si>
    <t>DA-1-301</t>
  </si>
  <si>
    <t>DA-1-102</t>
  </si>
  <si>
    <t>DA-1-302</t>
  </si>
  <si>
    <t>DA-1-103</t>
  </si>
  <si>
    <t>DA-1-303</t>
  </si>
  <si>
    <t>DA-1-104</t>
  </si>
  <si>
    <t>AE-2-001</t>
  </si>
  <si>
    <t>AE-2-002</t>
  </si>
  <si>
    <t>CA-0-134</t>
  </si>
  <si>
    <t>CA-0-135</t>
  </si>
  <si>
    <t>CB-0-152</t>
  </si>
  <si>
    <t>CE-0-153</t>
  </si>
  <si>
    <t>CG-0-110</t>
  </si>
  <si>
    <t>CG-0-111</t>
  </si>
  <si>
    <t>CG-0-112</t>
  </si>
  <si>
    <t>CG-0-113</t>
  </si>
  <si>
    <t>CG-0-122</t>
  </si>
  <si>
    <t>CG-0-123</t>
  </si>
  <si>
    <t>CG-0-124</t>
  </si>
  <si>
    <t>3 x RJ45 GbE. 1 x USB 3.0, 1 x USB 2.0. Настольное исполнение</t>
  </si>
  <si>
    <t>6 x RJ45 GbE. 2 x USB 2.0. Установка в стойку 1U. Только одиночный БП. Без мест для модулей расширения. Уголки для крепления в стойку входят в комплект.</t>
  </si>
  <si>
    <t>6 x RJ45 GbE. 2 x USB 2.0. Установка в стойку 1U. Только одиночный БП. 1 место для модулей расширения. Уголки для крепления в стойку входят в комплект.</t>
  </si>
  <si>
    <t>6 x RJ45 GbE. 2 x USB 2.0.Bypass. Установка в стойку 1U. Только одиночный БП. 1 место для модулей расширения.Уголки для крепления в стойку входят в комплект.</t>
  </si>
  <si>
    <t>CD-0-153</t>
  </si>
  <si>
    <t>Услуги внедрения</t>
  </si>
  <si>
    <t>Установка средств защиты от НСД и реализация разрешительной системы доступа пользователей и эксплуатационного персонала объекта информатизации АС  к обрабатываемой информации через Active Directory (за АРМ/сервер)</t>
  </si>
  <si>
    <t>Установка средств межсетевого экранирования и защиты информации в каналах передачи данных (за криптошлюз)</t>
  </si>
  <si>
    <t>Консультационные услуги</t>
  </si>
  <si>
    <t>Услуги экспертизы</t>
  </si>
  <si>
    <t>Расследование инцидентов</t>
  </si>
  <si>
    <t>Экспертизы</t>
  </si>
  <si>
    <t>Разработка плана работы технического персонала в целях быстрой и эффективной остановки инцидента</t>
  </si>
  <si>
    <t>Выявление всей цепочки хостов, причастных к инциденту. Выявление и сбор дополнительных сведений в рамках проводимого реагирования (файлы журналов сетевых взаимодействий, безопасности, систем контроля и управления доступом и пр.). Определение типа атаки и возможных ее последствий. (Включает полный анализ 1 компьютера, далее 50000 за каждый компьютер</t>
  </si>
  <si>
    <t>Проведение работ по остановке/удалению вредоносного ПО,  за компьютер</t>
  </si>
  <si>
    <t>Корректное изъятие объектов/снятие образов в случае невозможного их отключения</t>
  </si>
  <si>
    <t>Интервьюирование/опрос работников компании, документирование полученных сведений, за сотрудника</t>
  </si>
  <si>
    <t>Определение причин возникновения инцидента</t>
  </si>
  <si>
    <t>Разработка рекомендаций по дальнейшему предотвращению подобных инцидентов</t>
  </si>
  <si>
    <t>Проведение тестирования на проникновение (минимальная стоимость)</t>
  </si>
  <si>
    <t>Анализ программного обеспечения на соответсвие ТЗ  (минимальная стоимость)</t>
  </si>
  <si>
    <t>Фототехническая экспертиза  (минимальная стоимость)</t>
  </si>
  <si>
    <t>Видеотехническая экспертиза  (минимальная стоимость)</t>
  </si>
  <si>
    <t>Экспертиза программного кода на нарушение авторских прав (минимальная стоимость)</t>
  </si>
  <si>
    <t>EA-0-001</t>
  </si>
  <si>
    <t>EA-0-002</t>
  </si>
  <si>
    <t>EB-0-001</t>
  </si>
  <si>
    <t>EB-0-002</t>
  </si>
  <si>
    <t>EC-0-001</t>
  </si>
  <si>
    <t>EC-0-002</t>
  </si>
  <si>
    <t>EC-0-003</t>
  </si>
  <si>
    <t>EC-0-004</t>
  </si>
  <si>
    <t>EC-0-005</t>
  </si>
  <si>
    <t>EC-0-006</t>
  </si>
  <si>
    <t>EC-0-007</t>
  </si>
  <si>
    <t>EC-0-008</t>
  </si>
  <si>
    <t>EC-0-009</t>
  </si>
  <si>
    <t>EC-0-010</t>
  </si>
  <si>
    <t>EC-0-011</t>
  </si>
  <si>
    <t>EC-0-012</t>
  </si>
  <si>
    <t>Для «Diamond ACS»</t>
  </si>
  <si>
    <t>Для «Diamond VPN/FW»</t>
  </si>
  <si>
    <t>CA-0-136</t>
  </si>
  <si>
    <t>CA-0-137</t>
  </si>
  <si>
    <t>CB-0-153</t>
  </si>
  <si>
    <t>CB-0-154</t>
  </si>
  <si>
    <t>CC-0-154</t>
  </si>
  <si>
    <t>CC-0-155</t>
  </si>
  <si>
    <t>CD-0-154</t>
  </si>
  <si>
    <t>CD-0-155</t>
  </si>
  <si>
    <t>CE-0-154</t>
  </si>
  <si>
    <t>CE-0-155</t>
  </si>
  <si>
    <t>CG-0-125</t>
  </si>
  <si>
    <t>CG-0-126</t>
  </si>
  <si>
    <t>CE-0-156</t>
  </si>
  <si>
    <t>CD-0-156</t>
  </si>
  <si>
    <t>CC-0-156</t>
  </si>
  <si>
    <t>CB-0-155</t>
  </si>
  <si>
    <t>CB-0-156</t>
  </si>
  <si>
    <t>CE-0-157</t>
  </si>
  <si>
    <t>CD-0-157</t>
  </si>
  <si>
    <t>CC-0-157</t>
  </si>
  <si>
    <t xml:space="preserve">Консультационная программа "Администрирование ПАК СЗИ от НДС Diamond" </t>
  </si>
  <si>
    <t>Консультационная программа "Администрирование ПАК сетевой защиты Diamond VPN/FW"</t>
  </si>
  <si>
    <t>CA-0-138</t>
  </si>
  <si>
    <t>CA-0-139</t>
  </si>
  <si>
    <t>CA-0-140</t>
  </si>
  <si>
    <t xml:space="preserve">ОБЯЗАТЕЛЬНА ДОКУПКА МОДУЛЕЙ РАСШИРЕНИЯ!    1 x RJ45 GbE. 2 x USB 3.0. Установка в стойку 1U. Одиночный БП. 4 места для модулей расширения. Bypass в зависимости от модуля расширения. </t>
  </si>
  <si>
    <r>
      <t>USB модуль для организации параллельной защищенной работы в контурах различной степени конфиденциальности включающий СЗИ НСД в защищаемых контурах и VPN клиент Diamond VPN/FW с СКЗИ.</t>
    </r>
    <r>
      <rPr>
        <b/>
        <sz val="10"/>
        <color theme="1"/>
        <rFont val="Tahoma"/>
        <family val="2"/>
        <charset val="204"/>
      </rPr>
      <t xml:space="preserve"> </t>
    </r>
  </si>
  <si>
    <t xml:space="preserve">Расширение аппаратного модуля для организации параллельной защищенной работы в контурах различной степени конфиденциальности. </t>
  </si>
  <si>
    <t>Минимальная сумма заказа по данному направлению - 30 000 рублей</t>
  </si>
  <si>
    <t>ПРАЙС-ЛИСТ
на модули расширения
Diamond VPN/FW</t>
  </si>
  <si>
    <t>Минимальная сумма заказа по данному направлению - 50 000 рублей</t>
  </si>
  <si>
    <t>CC-0-158</t>
  </si>
  <si>
    <t>20%</t>
  </si>
  <si>
    <t>FA-1-001</t>
  </si>
  <si>
    <t>FA-1-002</t>
  </si>
  <si>
    <t>FC-1-003</t>
  </si>
  <si>
    <t>FC-1-004</t>
  </si>
  <si>
    <t>,</t>
  </si>
  <si>
    <t>BF-2-022</t>
  </si>
  <si>
    <t>BF-2-025</t>
  </si>
  <si>
    <t>BF-2-028</t>
  </si>
  <si>
    <t>BF-2-031</t>
  </si>
  <si>
    <t>BF-2-035</t>
  </si>
  <si>
    <t>BF-2-036</t>
  </si>
  <si>
    <t>BF-2-040</t>
  </si>
  <si>
    <t>BF-2-045</t>
  </si>
  <si>
    <t>BF-2-048</t>
  </si>
  <si>
    <t>BF-2-053</t>
  </si>
  <si>
    <t>BF-2-059</t>
  </si>
  <si>
    <t>BF-2-067</t>
  </si>
  <si>
    <t>BF-2-068</t>
  </si>
  <si>
    <t>Класс КС1</t>
  </si>
  <si>
    <t>Класс КС2</t>
  </si>
  <si>
    <t>Класс КС3</t>
  </si>
  <si>
    <t>Windows Vista/2008/2012/7/8/10</t>
  </si>
  <si>
    <t>Сертифицированный установочный комплект ОЕМ. СКЗИ «Dcrypt 1.0 v.2»</t>
  </si>
  <si>
    <t>BG-0-004</t>
  </si>
  <si>
    <t>2.4</t>
  </si>
  <si>
    <t>2.5</t>
  </si>
  <si>
    <t>3.4</t>
  </si>
  <si>
    <t>3.5</t>
  </si>
  <si>
    <t>CE-0-305</t>
  </si>
  <si>
    <t>CE-0-505</t>
  </si>
  <si>
    <t>CE-0-308</t>
  </si>
  <si>
    <t>CE-0-508</t>
  </si>
  <si>
    <t>CE-0-311</t>
  </si>
  <si>
    <t>CE-0-511</t>
  </si>
  <si>
    <t>CE-0-315</t>
  </si>
  <si>
    <t>CE-0-515</t>
  </si>
  <si>
    <t>CE-0-316</t>
  </si>
  <si>
    <t>CE-0-516</t>
  </si>
  <si>
    <t>CE-0-320</t>
  </si>
  <si>
    <t>CE-0-520</t>
  </si>
  <si>
    <t>CE-0-325</t>
  </si>
  <si>
    <t>CE-0-525</t>
  </si>
  <si>
    <t>CE-0-328</t>
  </si>
  <si>
    <t>CE-0-528</t>
  </si>
  <si>
    <t>CE-0-333</t>
  </si>
  <si>
    <t>CE-0-533</t>
  </si>
  <si>
    <t>CE-0-339</t>
  </si>
  <si>
    <t>CE-0-539</t>
  </si>
  <si>
    <t>CE-0-347</t>
  </si>
  <si>
    <t>CE-0-547</t>
  </si>
  <si>
    <t>CE-0-348</t>
  </si>
  <si>
    <t>CE-0-548</t>
  </si>
  <si>
    <t>4.4</t>
  </si>
  <si>
    <t>4.5</t>
  </si>
  <si>
    <t>5.4</t>
  </si>
  <si>
    <t>5.5</t>
  </si>
  <si>
    <t>6.4</t>
  </si>
  <si>
    <t>6.5</t>
  </si>
  <si>
    <t>7.4</t>
  </si>
  <si>
    <t>7.5</t>
  </si>
  <si>
    <t>8.4</t>
  </si>
  <si>
    <t>8.5</t>
  </si>
  <si>
    <t>9.4</t>
  </si>
  <si>
    <t>9.5</t>
  </si>
  <si>
    <t>10.4</t>
  </si>
  <si>
    <t>10.5</t>
  </si>
  <si>
    <t>11.4</t>
  </si>
  <si>
    <t>11.5</t>
  </si>
  <si>
    <t>12.4</t>
  </si>
  <si>
    <t>12.5</t>
  </si>
  <si>
    <t>13.4</t>
  </si>
  <si>
    <t>13.5</t>
  </si>
  <si>
    <t>14.4</t>
  </si>
  <si>
    <t>14.5</t>
  </si>
  <si>
    <t>15.4</t>
  </si>
  <si>
    <t>15.5</t>
  </si>
  <si>
    <t>• Цены носят справочный характер. Для получения точной цены необходимо связаться с отделом продаж ООО " ТСС ".</t>
  </si>
  <si>
    <t>1.4</t>
  </si>
  <si>
    <t>1.5</t>
  </si>
  <si>
    <t>CF-0-301</t>
  </si>
  <si>
    <t>CF-0-501</t>
  </si>
  <si>
    <t>CB-0-304</t>
  </si>
  <si>
    <t>CB-0-307</t>
  </si>
  <si>
    <t>CB-0-310</t>
  </si>
  <si>
    <t>CB-0-314</t>
  </si>
  <si>
    <t>CB-0-315</t>
  </si>
  <si>
    <t>CB-0-319</t>
  </si>
  <si>
    <t>CB-0-324</t>
  </si>
  <si>
    <t>CB-0-327</t>
  </si>
  <si>
    <t>CB-0-332</t>
  </si>
  <si>
    <t>CB-0-338</t>
  </si>
  <si>
    <t>CB-0-346</t>
  </si>
  <si>
    <t>CB-0-347</t>
  </si>
  <si>
    <t>CB-0-504</t>
  </si>
  <si>
    <t>CB-0-507</t>
  </si>
  <si>
    <t>CB-0-510</t>
  </si>
  <si>
    <t>CB-0-514</t>
  </si>
  <si>
    <t>CB-0-515</t>
  </si>
  <si>
    <t>CB-0-519</t>
  </si>
  <si>
    <t>CB-0-524</t>
  </si>
  <si>
    <t>CB-0-527</t>
  </si>
  <si>
    <t>CB-0-532</t>
  </si>
  <si>
    <t>CB-0-538</t>
  </si>
  <si>
    <t>CB-0-546</t>
  </si>
  <si>
    <t>CB-0-547</t>
  </si>
  <si>
    <t>CC-0-301</t>
  </si>
  <si>
    <t>CC-0-501</t>
  </si>
  <si>
    <t>СС-0-302</t>
  </si>
  <si>
    <t>СС-0-502</t>
  </si>
  <si>
    <t>СС-0-305</t>
  </si>
  <si>
    <t>СС-0-505</t>
  </si>
  <si>
    <t>СС-0-308</t>
  </si>
  <si>
    <t>СС-0-508</t>
  </si>
  <si>
    <t>СС-0-311</t>
  </si>
  <si>
    <t>СС-0-511</t>
  </si>
  <si>
    <t>СС-0-315</t>
  </si>
  <si>
    <t>СС-0-515</t>
  </si>
  <si>
    <t>СС-0-316</t>
  </si>
  <si>
    <t>СС-0-516</t>
  </si>
  <si>
    <t>СС-0-320</t>
  </si>
  <si>
    <t>СС-0-520</t>
  </si>
  <si>
    <t>СС-0-325</t>
  </si>
  <si>
    <t>СС-0-525</t>
  </si>
  <si>
    <t>СС-0-328</t>
  </si>
  <si>
    <t>СС-0-528</t>
  </si>
  <si>
    <t>СС-0-333</t>
  </si>
  <si>
    <t>СС-0-533</t>
  </si>
  <si>
    <t>СС-0-339</t>
  </si>
  <si>
    <t>СС-0-539</t>
  </si>
  <si>
    <t>СС-0-347</t>
  </si>
  <si>
    <t>СС-0-547</t>
  </si>
  <si>
    <t>СС-0-348</t>
  </si>
  <si>
    <t>СС-0-548</t>
  </si>
  <si>
    <t>CD-0-301</t>
  </si>
  <si>
    <t>CD-0-501</t>
  </si>
  <si>
    <t>CD-0-302</t>
  </si>
  <si>
    <t>CD-0-502</t>
  </si>
  <si>
    <t>CD-0-305</t>
  </si>
  <si>
    <t>CD-0-505</t>
  </si>
  <si>
    <t>CD-0-308</t>
  </si>
  <si>
    <t>CD-0-508</t>
  </si>
  <si>
    <t>CD-0-311</t>
  </si>
  <si>
    <t>CD-0-511</t>
  </si>
  <si>
    <t>CD-0-315</t>
  </si>
  <si>
    <t>CD-0-515</t>
  </si>
  <si>
    <t>CD-0-316</t>
  </si>
  <si>
    <t>CD-0-516</t>
  </si>
  <si>
    <t>CD-0-320</t>
  </si>
  <si>
    <t>CD-0-520</t>
  </si>
  <si>
    <t>CD-0-325</t>
  </si>
  <si>
    <t>CD-0-525</t>
  </si>
  <si>
    <t>CD-0-328</t>
  </si>
  <si>
    <t>CD-0-528</t>
  </si>
  <si>
    <t>CD-0-333</t>
  </si>
  <si>
    <t>CD-0-533</t>
  </si>
  <si>
    <t>CD-0-339</t>
  </si>
  <si>
    <t>CD-0-539</t>
  </si>
  <si>
    <t>CD-0-347</t>
  </si>
  <si>
    <t>CD-0-547</t>
  </si>
  <si>
    <t>CD-0-348</t>
  </si>
  <si>
    <t>CD-0-548</t>
  </si>
  <si>
    <t>FB-1-003</t>
  </si>
  <si>
    <t>FB-1-004</t>
  </si>
  <si>
    <t>CA-0-303</t>
  </si>
  <si>
    <t>CA-0-304</t>
  </si>
  <si>
    <t>CA-0-305</t>
  </si>
  <si>
    <t>CA-0-505</t>
  </si>
  <si>
    <t>CA-0-306</t>
  </si>
  <si>
    <t>CA-0-506</t>
  </si>
  <si>
    <t>CA-0-330</t>
  </si>
  <si>
    <t>CA-0-530</t>
  </si>
  <si>
    <t>CA-0-311</t>
  </si>
  <si>
    <t>CA-0-312</t>
  </si>
  <si>
    <t>CA-0-313</t>
  </si>
  <si>
    <t>CA-0-314</t>
  </si>
  <si>
    <t>CA-0-315</t>
  </si>
  <si>
    <t>CA-0-515</t>
  </si>
  <si>
    <t>CA-0-316</t>
  </si>
  <si>
    <t>CA-0-516</t>
  </si>
  <si>
    <t>CA-0-317</t>
  </si>
  <si>
    <t>CA-0-517</t>
  </si>
  <si>
    <t>CA-0-318</t>
  </si>
  <si>
    <t>CA-0-518</t>
  </si>
  <si>
    <t>CA-0-320</t>
  </si>
  <si>
    <t>CA-0-321</t>
  </si>
  <si>
    <t>CA-0-521</t>
  </si>
  <si>
    <t>CA-0-323</t>
  </si>
  <si>
    <t>CA-0-324</t>
  </si>
  <si>
    <t>CA-0-524</t>
  </si>
  <si>
    <t>CA-0-326</t>
  </si>
  <si>
    <t>CA-0-327</t>
  </si>
  <si>
    <t>CA-0-527</t>
  </si>
  <si>
    <t>CA-0-328</t>
  </si>
  <si>
    <t>CA-0-528</t>
  </si>
  <si>
    <t>CA-0-329</t>
  </si>
  <si>
    <t>CA-0-529</t>
  </si>
  <si>
    <t>CA-0-331</t>
  </si>
  <si>
    <t>CA-0-531</t>
  </si>
  <si>
    <t>CA-0-332</t>
  </si>
  <si>
    <t>CA-0-532</t>
  </si>
  <si>
    <t>CA-0-333</t>
  </si>
  <si>
    <t>CA-0-533</t>
  </si>
  <si>
    <t>CA-0-334</t>
  </si>
  <si>
    <t>CA-0-534</t>
  </si>
  <si>
    <t>CA-0-335</t>
  </si>
  <si>
    <t>CA-0-535</t>
  </si>
  <si>
    <t>CA-0-336</t>
  </si>
  <si>
    <t>CA-0-536</t>
  </si>
  <si>
    <t>CA-0-337</t>
  </si>
  <si>
    <t>CA-0-537</t>
  </si>
  <si>
    <t>CA-0-338</t>
  </si>
  <si>
    <t>CA-0-538</t>
  </si>
  <si>
    <t>CB-0-352</t>
  </si>
  <si>
    <t>CB-0-552</t>
  </si>
  <si>
    <t>CB-0-353</t>
  </si>
  <si>
    <t>CB-0-553</t>
  </si>
  <si>
    <t>CB-0-354</t>
  </si>
  <si>
    <t>CB-0-554</t>
  </si>
  <si>
    <t>CC-0-354</t>
  </si>
  <si>
    <t>CC-0-554</t>
  </si>
  <si>
    <t>CC-0-355</t>
  </si>
  <si>
    <t>CC-0-555</t>
  </si>
  <si>
    <t>CC-0-356</t>
  </si>
  <si>
    <t>CC-0-556</t>
  </si>
  <si>
    <t>CD-0-353</t>
  </si>
  <si>
    <t>CD-0-553</t>
  </si>
  <si>
    <t>CD-0-354</t>
  </si>
  <si>
    <t>CD-0-554</t>
  </si>
  <si>
    <t>CD-0-355</t>
  </si>
  <si>
    <t>CD-0-555</t>
  </si>
  <si>
    <t>CE-0-353</t>
  </si>
  <si>
    <t>CE-0-553</t>
  </si>
  <si>
    <t>CE-0-354</t>
  </si>
  <si>
    <t>CE-0-554</t>
  </si>
  <si>
    <t>CE-0-355</t>
  </si>
  <si>
    <t>CE-0-555</t>
  </si>
  <si>
    <t>CG-0-322</t>
  </si>
  <si>
    <t>CG-0-522</t>
  </si>
  <si>
    <t>CG-0-323</t>
  </si>
  <si>
    <t>CG-0-523</t>
  </si>
  <si>
    <t>CG-0-324</t>
  </si>
  <si>
    <t>CG-0-524</t>
  </si>
  <si>
    <t>CG-0-301</t>
  </si>
  <si>
    <t>CG-0-501</t>
  </si>
  <si>
    <t>CG-0-302</t>
  </si>
  <si>
    <t>CG-0-502</t>
  </si>
  <si>
    <t>CG-0-303</t>
  </si>
  <si>
    <t>CG-0-503</t>
  </si>
  <si>
    <t>CG-0-304</t>
  </si>
  <si>
    <t>CG-0-504</t>
  </si>
  <si>
    <t>CG-0-305</t>
  </si>
  <si>
    <t>CG-0-505</t>
  </si>
  <si>
    <t>CG-0-306</t>
  </si>
  <si>
    <t>CG-0-506</t>
  </si>
  <si>
    <t>CG-0-307</t>
  </si>
  <si>
    <t>CG-0-507</t>
  </si>
  <si>
    <t>CG-0-308</t>
  </si>
  <si>
    <t>CG-0-508</t>
  </si>
  <si>
    <t>CG-0-309</t>
  </si>
  <si>
    <t>CG-0-509</t>
  </si>
  <si>
    <t>CG-0-310</t>
  </si>
  <si>
    <t>CG-0-510</t>
  </si>
  <si>
    <t>CG-0-311</t>
  </si>
  <si>
    <t>CG-0-511</t>
  </si>
  <si>
    <t>CG-0-312</t>
  </si>
  <si>
    <t>CG-0-512</t>
  </si>
  <si>
    <t>CG-0-313</t>
  </si>
  <si>
    <t>CG-0-513</t>
  </si>
  <si>
    <r>
      <t xml:space="preserve">Модуль Deep Virtual Secure  </t>
    </r>
    <r>
      <rPr>
        <b/>
        <sz val="10"/>
        <color theme="1"/>
        <rFont val="Tahoma"/>
        <family val="2"/>
        <charset val="204"/>
      </rPr>
      <t>«Diamond ACS HW» USB</t>
    </r>
  </si>
  <si>
    <t xml:space="preserve"> </t>
  </si>
  <si>
    <t>CJ-0-101</t>
  </si>
  <si>
    <t>CJ-0-301</t>
  </si>
  <si>
    <t>CJ-0-501</t>
  </si>
  <si>
    <t>CJ-0-102</t>
  </si>
  <si>
    <t>CJ-0-302</t>
  </si>
  <si>
    <t>CJ-0-502</t>
  </si>
  <si>
    <t>CJ-0-105</t>
  </si>
  <si>
    <t>CJ-0-305</t>
  </si>
  <si>
    <t>CJ-0-505</t>
  </si>
  <si>
    <t>CJ-0-106</t>
  </si>
  <si>
    <t>CJ-0-306</t>
  </si>
  <si>
    <t>CJ-0-506</t>
  </si>
  <si>
    <t>CJ-0-113</t>
  </si>
  <si>
    <t>CJ-0-313</t>
  </si>
  <si>
    <t>CJ-0-513</t>
  </si>
  <si>
    <t>CJ-0-114</t>
  </si>
  <si>
    <t>CJ-0-314</t>
  </si>
  <si>
    <t>CJ-0-514</t>
  </si>
  <si>
    <t>CJ-0-119</t>
  </si>
  <si>
    <t>CJ-0-319</t>
  </si>
  <si>
    <t>CJ-0-519</t>
  </si>
  <si>
    <t>CJ-0-120</t>
  </si>
  <si>
    <t>CJ-0-320</t>
  </si>
  <si>
    <t>CJ-0-520</t>
  </si>
  <si>
    <t>CJ-0-121</t>
  </si>
  <si>
    <t>CJ-0-321</t>
  </si>
  <si>
    <t>CJ-0-521</t>
  </si>
  <si>
    <t>CJ-0-122</t>
  </si>
  <si>
    <t>CJ-0-322</t>
  </si>
  <si>
    <t>CJ-0-522</t>
  </si>
  <si>
    <t>CJ-0-123</t>
  </si>
  <si>
    <t>CJ-0-323</t>
  </si>
  <si>
    <t>CJ-0-523</t>
  </si>
  <si>
    <t>CJ-0-124</t>
  </si>
  <si>
    <t>CJ-0-125</t>
  </si>
  <si>
    <t>BF-2-074</t>
  </si>
  <si>
    <t>CG-0-127</t>
  </si>
  <si>
    <t>CG-0-325</t>
  </si>
  <si>
    <t>CG-0-525</t>
  </si>
  <si>
    <t>BF-2-075</t>
  </si>
  <si>
    <t>Услуги ремонта</t>
  </si>
  <si>
    <t>Работы по ремонту «Diamond VPN/FW»</t>
  </si>
  <si>
    <t>ED-0-001</t>
  </si>
  <si>
    <t>Стоимость за 1 час.</t>
  </si>
  <si>
    <t>Цена для 1-15 шт.</t>
  </si>
  <si>
    <t>Цена 16 и более шт.</t>
  </si>
  <si>
    <t>Цена для 16 и более шт.</t>
  </si>
  <si>
    <t>AA-1-103</t>
  </si>
  <si>
    <t>CA-0-141</t>
  </si>
  <si>
    <t>AA-1-303</t>
  </si>
  <si>
    <t>CA-0-142</t>
  </si>
  <si>
    <t>CA-0-339</t>
  </si>
  <si>
    <t>AA-1-003</t>
  </si>
  <si>
    <t>CA-0-143</t>
  </si>
  <si>
    <t>CA-0-340</t>
  </si>
  <si>
    <t>CA-0-539</t>
  </si>
  <si>
    <t>Аппаратный модуль доверенной загрузки + 2 идентификатора</t>
  </si>
  <si>
    <t>AE-2-003</t>
  </si>
  <si>
    <t>Linux 2.6.x/3.x/4.х/5х</t>
  </si>
  <si>
    <t xml:space="preserve"> Linux 2.6.x/3.x/4.х/5х</t>
  </si>
  <si>
    <t>FC-1-001</t>
  </si>
  <si>
    <t>FC-1-002</t>
  </si>
  <si>
    <t>CJ-0-107</t>
  </si>
  <si>
    <t>CJ-0-307</t>
  </si>
  <si>
    <t>CJ-0-507</t>
  </si>
  <si>
    <t>CJ-0-108</t>
  </si>
  <si>
    <t>CJ-0-308</t>
  </si>
  <si>
    <t>CJ-0-508</t>
  </si>
  <si>
    <t>FA-1-007</t>
  </si>
  <si>
    <t>FB-1-008</t>
  </si>
  <si>
    <t xml:space="preserve">Класс КС2 </t>
  </si>
  <si>
    <t>Класс КВ</t>
  </si>
  <si>
    <t>FD-1-001</t>
  </si>
  <si>
    <t>CJ-0-117</t>
  </si>
  <si>
    <t>CJ-0-317</t>
  </si>
  <si>
    <t>CJ-0-517</t>
  </si>
  <si>
    <t>CJ-0-118</t>
  </si>
  <si>
    <t>CJ-0-318</t>
  </si>
  <si>
    <t>CJ-0-518</t>
  </si>
  <si>
    <t>FC-1-006</t>
  </si>
  <si>
    <t>FC-1-008</t>
  </si>
  <si>
    <t>FC-1-007</t>
  </si>
  <si>
    <t>FA-1-008</t>
  </si>
  <si>
    <t>FC-1-009</t>
  </si>
  <si>
    <t>FA-1-010</t>
  </si>
  <si>
    <t>FC-1-010</t>
  </si>
  <si>
    <t>CJ-0-126</t>
  </si>
  <si>
    <t>CJ-0-326</t>
  </si>
  <si>
    <t>CJ-0-526</t>
  </si>
  <si>
    <t>CJ-0-127</t>
  </si>
  <si>
    <t>CJ-0-327</t>
  </si>
  <si>
    <t>CJ-0-527</t>
  </si>
  <si>
    <t>CJ-0-128</t>
  </si>
  <si>
    <t>CJ-0-328</t>
  </si>
  <si>
    <t>CJ-0-528</t>
  </si>
  <si>
    <t>CJ-0-129</t>
  </si>
  <si>
    <t>CJ-0-330</t>
  </si>
  <si>
    <t>CJ-0-530</t>
  </si>
  <si>
    <t>CJ-0-131</t>
  </si>
  <si>
    <t>CJ-0-332</t>
  </si>
  <si>
    <t>CJ-0-531</t>
  </si>
  <si>
    <t>CJ-0-331</t>
  </si>
  <si>
    <t>CJ-0-132</t>
  </si>
  <si>
    <t>CJ-0-532</t>
  </si>
  <si>
    <t>CJ-0-133</t>
  </si>
  <si>
    <t>CJ-0-333</t>
  </si>
  <si>
    <t>CJ-0-533</t>
  </si>
  <si>
    <t>Примечание</t>
  </si>
  <si>
    <t>Техническое сопровождение</t>
  </si>
  <si>
    <t>16.1</t>
  </si>
  <si>
    <t>16.2</t>
  </si>
  <si>
    <t>16.3</t>
  </si>
  <si>
    <t>16.4</t>
  </si>
  <si>
    <t>16.5</t>
  </si>
  <si>
    <t>BF-2-092</t>
  </si>
  <si>
    <t>BB-3-071</t>
  </si>
  <si>
    <t>Назначение: АП VPN
Архитектура процессора:
Intel IA-32, EM64T
Системное ПО: Windows
Vista/2008/2012/7/8/10
Сертификация: ФСБ
защиты КС1</t>
  </si>
  <si>
    <t>FB-1-007</t>
  </si>
  <si>
    <t>FA-1-011</t>
  </si>
  <si>
    <t>FA-1-012</t>
  </si>
  <si>
    <t>FA-1-013</t>
  </si>
  <si>
    <t>FA-1-014</t>
  </si>
  <si>
    <t>FB-1-011</t>
  </si>
  <si>
    <t>FB-1-012</t>
  </si>
  <si>
    <t>FB-1-013</t>
  </si>
  <si>
    <t>FB-1-014</t>
  </si>
  <si>
    <t>FD-1-002</t>
  </si>
  <si>
    <t>CJ-0-329</t>
  </si>
  <si>
    <t>CJ-0-529</t>
  </si>
  <si>
    <t>CJ-0-130</t>
  </si>
  <si>
    <t>CJ-0-134</t>
  </si>
  <si>
    <t>CJ-0-334</t>
  </si>
  <si>
    <t>CJ-0-534</t>
  </si>
  <si>
    <t>CJ-0-135</t>
  </si>
  <si>
    <t>CJ-0-335</t>
  </si>
  <si>
    <t>CJ-0-535</t>
  </si>
  <si>
    <t>CJ-0-136</t>
  </si>
  <si>
    <t>CJ-0-336</t>
  </si>
  <si>
    <t>CJ-0-536</t>
  </si>
  <si>
    <t>CJ-0-137</t>
  </si>
  <si>
    <t>CJ-0-337</t>
  </si>
  <si>
    <t>CJ-0-537</t>
  </si>
  <si>
    <t>CJ-0-138</t>
  </si>
  <si>
    <t>CJ-0-338</t>
  </si>
  <si>
    <t>CJ-0-538</t>
  </si>
  <si>
    <t>CJ-0-139</t>
  </si>
  <si>
    <t>CJ-0-339</t>
  </si>
  <si>
    <t>CJ-0-539</t>
  </si>
  <si>
    <t>CJ-0-140</t>
  </si>
  <si>
    <t>CJ-0-340</t>
  </si>
  <si>
    <t>CJ-0-540</t>
  </si>
  <si>
    <t>CJ-0-142</t>
  </si>
  <si>
    <t>CJ-0-342</t>
  </si>
  <si>
    <t>CJ-0-542</t>
  </si>
  <si>
    <t>CJ-0-143</t>
  </si>
  <si>
    <t>CJ-0-343</t>
  </si>
  <si>
    <t>CJ-0-543</t>
  </si>
  <si>
    <t>CJ-0-144</t>
  </si>
  <si>
    <t>CJ-0-344</t>
  </si>
  <si>
    <t>CJ-0-544</t>
  </si>
  <si>
    <t>CJ-0-141</t>
  </si>
  <si>
    <t>CJ-0-341</t>
  </si>
  <si>
    <t>CJ-0-541</t>
  </si>
  <si>
    <t>CJ-0-145</t>
  </si>
  <si>
    <t>CJ-0-345</t>
  </si>
  <si>
    <t>CJ-0-545</t>
  </si>
  <si>
    <t>Актуальный перечень поддерживаемых ОС представлен на сайте. Также информацию по поддержке требуемых ОС Linux можно молучить по запросу на почты: sales@tssltd.ru, info@tssltd.ru</t>
  </si>
  <si>
    <t>CF-0-105</t>
  </si>
  <si>
    <t>CF-0-305</t>
  </si>
  <si>
    <t>CF-0-505</t>
  </si>
  <si>
    <t>CF-0-106</t>
  </si>
  <si>
    <t>CF-0-306</t>
  </si>
  <si>
    <t>CF-0-506</t>
  </si>
  <si>
    <t>CF-0-107</t>
  </si>
  <si>
    <t>CF-0-307</t>
  </si>
  <si>
    <t>CF-0-507</t>
  </si>
  <si>
    <t>CF-0-108</t>
  </si>
  <si>
    <t>CF-0-109</t>
  </si>
  <si>
    <t>• Цены носят справочный характер. Для получения точной цены необходимо связаться с отделом продаж ООО "ТСС".</t>
  </si>
  <si>
    <t>BE-1-002</t>
  </si>
  <si>
    <t>BE-3-002</t>
  </si>
  <si>
    <t>CF-0-102</t>
  </si>
  <si>
    <t>CF-0-302</t>
  </si>
  <si>
    <t>CF-0-502</t>
  </si>
  <si>
    <t>BE-1-003</t>
  </si>
  <si>
    <t>BE-3-003</t>
  </si>
  <si>
    <t>CF-0-103</t>
  </si>
  <si>
    <t>CF-0-303</t>
  </si>
  <si>
    <t>CF-0-503</t>
  </si>
  <si>
    <t>BE-1-004</t>
  </si>
  <si>
    <t>BE-3-004</t>
  </si>
  <si>
    <t>CF-0-104</t>
  </si>
  <si>
    <t>CF-0-304</t>
  </si>
  <si>
    <t>CF-0-504</t>
  </si>
  <si>
    <r>
      <rPr>
        <b/>
        <sz val="10"/>
        <rFont val="Tahoma"/>
        <family val="2"/>
        <charset val="204"/>
      </rPr>
      <t>ПК</t>
    </r>
    <r>
      <rPr>
        <sz val="10"/>
        <rFont val="Tahoma"/>
        <family val="2"/>
        <charset val="204"/>
      </rPr>
      <t xml:space="preserve"> </t>
    </r>
    <r>
      <rPr>
        <b/>
        <sz val="10"/>
        <rFont val="Tahoma"/>
        <family val="2"/>
        <charset val="204"/>
      </rPr>
      <t>СКРД на сетевой рабочей станции «Diamond ACS Agent Windows Workstation Net»</t>
    </r>
  </si>
  <si>
    <t>9</t>
  </si>
  <si>
    <t>10</t>
  </si>
  <si>
    <t>11</t>
  </si>
  <si>
    <t>12</t>
  </si>
  <si>
    <t>13</t>
  </si>
  <si>
    <t>14</t>
  </si>
  <si>
    <t>15</t>
  </si>
  <si>
    <t>16</t>
  </si>
  <si>
    <t>АМДЗ Аккорд-5.5e PCI-E</t>
  </si>
  <si>
    <t>Контроллер Аккорд – GXMH, вольтаж 3, 3В, CD «АККОРД – АМДЗ», формуляр 11443195.4012.054 30, крепежные винты (арт. 115GMH)</t>
  </si>
  <si>
    <t>-</t>
  </si>
  <si>
    <t>Цена для 
1-15 шт.</t>
  </si>
  <si>
    <t>Цена для
1-15 шт.</t>
  </si>
  <si>
    <r>
      <rPr>
        <b/>
        <i/>
        <sz val="10"/>
        <rFont val="Tahoma"/>
        <family val="2"/>
        <charset val="204"/>
      </rPr>
      <t>Примечание:</t>
    </r>
    <r>
      <rPr>
        <i/>
        <sz val="10"/>
        <rFont val="Tahoma"/>
        <family val="2"/>
        <charset val="204"/>
      </rPr>
      <t xml:space="preserve"> системы защиты информации (СЗИ)</t>
    </r>
  </si>
  <si>
    <t>FC-1-011</t>
  </si>
  <si>
    <t>CJ-0-146</t>
  </si>
  <si>
    <t>CJ-0-346</t>
  </si>
  <si>
    <t>CJ-0-546</t>
  </si>
  <si>
    <t>CJ-0-147</t>
  </si>
  <si>
    <t>CJ-0-347</t>
  </si>
  <si>
    <t>CJ-0-547</t>
  </si>
  <si>
    <t>FB-1-010</t>
  </si>
  <si>
    <t xml:space="preserve">
ПРАЙС-ЛИСТ
на поставку программно-аппаратного
многофункционального комплекса сетевой защиты
Diamond VPN/FW - Версия VPN
</t>
  </si>
  <si>
    <t xml:space="preserve">, </t>
  </si>
  <si>
    <t>Лицензия на право использования программного комплекса обновления сигнатур системы обнаружения вторжений для «Diamond VPN/FW», уровень "Дневной" на 3 года</t>
  </si>
  <si>
    <t>Лицензия на право использования программного комплекса обновления сигнатур системы обнаружения вторжений для «Diamond VPN/FW», уровень "Дневной" на 1 год</t>
  </si>
  <si>
    <t>Лицензия на право использования программного комплекса обновления сигнатур системы обнаружения вторжений для «Diamond VPN/FW», уровень "Недельный"  на 1 год</t>
  </si>
  <si>
    <t>Лицензия на право использования программного комплекса обновления сигнатур системы обнаружения вторжений для «Diamond VPN/FW», уровень "Недельный"  на 3 года</t>
  </si>
  <si>
    <t>Лицензия на право использования программного комплекса обновления сигнатур системы обнаружения вторжений для «Diamond VPN/FW», уровень "2х-Месячный"  на 1 год</t>
  </si>
  <si>
    <t>Лицензия на право использования программного комплекса обновления сигнатур системы обнаружения вторжений для «Diamond VPN/FW», уровень "2х-Месячный"  на 3 года</t>
  </si>
  <si>
    <t>Лицензия на право использования программного комплекса обновления сигнатур системы обнаружения вторжений для «Diamond VPN/FW», уровень "Полугодовой"  на 1 год</t>
  </si>
  <si>
    <t>Модуль расширения многофункционального комплекса сетевой защиты «Diamond VPN/FW» 4 x GbE RJ45 with 2 pair Bypass</t>
  </si>
  <si>
    <t>Модуль расширения многофункционального комплекса сетевой защиты «Diamond VPN/FW» 4 x GbE SFP</t>
  </si>
  <si>
    <t>Модуль расширения многофункционального комплекса сетевой защиты «Diamond VPN/FW» 4 x GbE SFP with 2 pair Fiber Bypass</t>
  </si>
  <si>
    <t xml:space="preserve">Модуль расширения многофункционального комплекса сетевой защиты «Diamond VPN/FW» 2 x 10G RJ45 </t>
  </si>
  <si>
    <t>Модуль расширения многофункционального комплекса сетевой защиты «Diamond VPN/FW» 2 x 10G RJ45 with 1 pair Bypass</t>
  </si>
  <si>
    <t>Модуль расширения многофункционального комплекса сетевой защиты «Diamond VPN/FW» 2 x 10G SFP+</t>
  </si>
  <si>
    <t>Модуль расширения многофункционального комплекса сетевой защиты «Diamond VPN/FW»  2 x 10G SFP+ with 1 pair Fiber Bypass</t>
  </si>
  <si>
    <t>Модуль расширения многофункционального комплекса сетевой защиты «Diamond VPN/FW» 4 x 10G SFP+</t>
  </si>
  <si>
    <t>Модуль расширения многофункционального комплекса сетевой защиты «Diamond VPN/FW» 5 серии port VGA</t>
  </si>
  <si>
    <t>Модуль расширения для многофункционального комплекса сетевой защиты Diamond VPN/FW 6, 7  серий</t>
  </si>
  <si>
    <t>Модуль расширения многофункционального комплекса сетевой защиты «Diamond VPN/FW 6, 7 серия»  8 x GbE RJ45</t>
  </si>
  <si>
    <t>Модуль расширения многофункционального комплекса сетевой защиты «Diamond VPN/FW 6, 7 серия» 8 x GbE RJ45 with 4 pair Bypass</t>
  </si>
  <si>
    <t>Модуль расширения многофункционального комплекса сетевой защиты «Diamond VPN/FW 6, 7 серия» 2 x 40G QSFP+</t>
  </si>
  <si>
    <t>Модуль расширения многофункционального комплекса сетевой защиты «Diamond VPN/FW 6, 7 серия» 8 x GbE SFP</t>
  </si>
  <si>
    <t xml:space="preserve">Модули расширения для многофункционального комплекса сетевой защиты «Diamond VPN/FW»  4, 5, 6, 7  серий </t>
  </si>
  <si>
    <t xml:space="preserve">Салазки для монтажа в стойку многофункционального комплекса сетевой защиты «Diamond VPN/FW 5 серии» </t>
  </si>
  <si>
    <t>Дополнительное оборудование для многофункционального комплекса сетевой защиты «Diamond VPN/FW»</t>
  </si>
  <si>
    <t>Лицензия на право использования средства криптографической защиты информации «Dcrypt 1.0 v.2», исп. 1</t>
  </si>
  <si>
    <t>Лицензия на право использования средства криптографической защиты информации «Dcrypt 1.0 v.2», исп. 4</t>
  </si>
  <si>
    <t>Лицензия на право использования средства криптографической защиты информации «Dcrypt 1.0 v.2», исп. 2</t>
  </si>
  <si>
    <t>Лицензия на право использования средства криптографической защиты информации «Dcrypt 1.0 v.2», исп. 5</t>
  </si>
  <si>
    <t>Лицензия на право использования средства криптографической защиты информации «Dcrypt 1.0 v.2», исп. 3</t>
  </si>
  <si>
    <t>Лицензия на право использования средства криптографической защиты информации «Dcrypt 1.0 v.2», исп. 6</t>
  </si>
  <si>
    <t xml:space="preserve">Лицензия на право использования средства криптографической защиты информации «Dcrypt 1.0 v.2», исп. 2 </t>
  </si>
  <si>
    <t>Лицензия на право использования средства криптографической защиты информации «Dcrypt 1.0 v.2», исп. 16 Client</t>
  </si>
  <si>
    <t>Лицензия на право использования средства криптографической защиты информации «Dcrypt 1.0 v.2», исп. 19 Network Server</t>
  </si>
  <si>
    <t>Лицензия на право использования средства криптографической защиты информации «Dcrypt 1.0 v.2», исп. 19 Client</t>
  </si>
  <si>
    <t>Лицензия на право использования средства криптографической защиты информации «Dcrypt 1.0 v.2», исп. 18 Client</t>
  </si>
  <si>
    <t>Лицензия на право использования средства криптографической защиты информации «Dcrypt 1.0 v.2», исп. 21  Network Server</t>
  </si>
  <si>
    <t>Лицензия на право использования средства криптографической защиты информации «Dcrypt 1.0 v.2», исп. 21 Client</t>
  </si>
  <si>
    <t>Лицензия на право использования средства криптографической защиты информации «Dcrypt 1.0 v.2», исп. 22  Network Server</t>
  </si>
  <si>
    <t>Лицензия на право использования средства криптографической защиты информации «Dcrypt 1.0 v.2», исп. 24 Network Server</t>
  </si>
  <si>
    <t>Лицензия на право использования средства криптографической защиты информации «Dcrypt 1.0 v.2», исп. 24 Client</t>
  </si>
  <si>
    <t>Лицензия на право использования средства криптографической защиты информации «Dcrypt 1.0 v.2», исп. 26 Network Server</t>
  </si>
  <si>
    <t>Лицензия на право использования средства криптографической защиты информации «Dcrypt 1.0 v.2», исп. 26 Client</t>
  </si>
  <si>
    <t>Лицензия на право использования средства криптографической защиты информации «Dcrypt 1.0 v.2», исп. 30 Network Server</t>
  </si>
  <si>
    <t>Лицензия на право использования средства криптографической защиты информации «Dcrypt 1.0 v.2», исп. 30 Client</t>
  </si>
  <si>
    <t>Лицензия на право использования средства криптографической защиты информации «Dcrypt 1.0 v.2», исп. 23 Network Server</t>
  </si>
  <si>
    <t>Лицензия на право использования средства криптографической защиты информации «Dcrypt 1.0 v.2», исп. 31</t>
  </si>
  <si>
    <t>Лицензия на право использования средства криптографической защиты информации «Dcrypt 1.0 v.2», исп. 34</t>
  </si>
  <si>
    <t>Лицензия на право использования средства криптографической защиты информации «Dcrypt 1.0 v.2», исп. 32</t>
  </si>
  <si>
    <t>Лицензия на право использования средства криптографической защиты информации «Dcrypt 1.0 v.2», исп. 35</t>
  </si>
  <si>
    <t>Лицензия на право использования средства криптографической защиты информации «Dcrypt 1.0 v.2», исп. 33</t>
  </si>
  <si>
    <t>Лицензия на право использования средства криптографической защиты информации «Dcrypt 1.0 v.2», исп. 36</t>
  </si>
  <si>
    <t>Лицензия на право использования средства криптографической защиты информации «Dcrypt 1.0 v.2», исп. 37</t>
  </si>
  <si>
    <t>Сертифицированный установочный комплект ОЕМ. средства криптографической защиты информации «Dcrypt 1.0 v.2»</t>
  </si>
  <si>
    <t xml:space="preserve"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</t>
  </si>
  <si>
    <t xml:space="preserve"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</t>
  </si>
  <si>
    <t xml:space="preserve"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</t>
  </si>
  <si>
    <t xml:space="preserve"> Network Server»</t>
  </si>
  <si>
    <t xml:space="preserve"> Client»</t>
  </si>
  <si>
    <t>1»</t>
  </si>
  <si>
    <t>2»</t>
  </si>
  <si>
    <t>3»</t>
  </si>
  <si>
    <t>4»</t>
  </si>
  <si>
    <t>5»</t>
  </si>
  <si>
    <t>6»</t>
  </si>
  <si>
    <t>7»</t>
  </si>
  <si>
    <t>8»</t>
  </si>
  <si>
    <t>9»</t>
  </si>
  <si>
    <t>10»</t>
  </si>
  <si>
    <t>11»</t>
  </si>
  <si>
    <t>12»</t>
  </si>
  <si>
    <t>13»</t>
  </si>
  <si>
    <t>14»</t>
  </si>
  <si>
    <t>15»</t>
  </si>
  <si>
    <t>31»</t>
  </si>
  <si>
    <t>32»</t>
  </si>
  <si>
    <t>33»</t>
  </si>
  <si>
    <t>34»</t>
  </si>
  <si>
    <t>35»</t>
  </si>
  <si>
    <t>36»</t>
  </si>
  <si>
    <t>»</t>
  </si>
  <si>
    <t>37»</t>
  </si>
  <si>
    <t>Сертификат активации сервиса прямой технической поддержки уровня "Стандартный" на 3 года для: «</t>
  </si>
  <si>
    <t>Сертификат активации сервиса прямой технической поддержки уровня "Стандартный" на 5 лет для: «</t>
  </si>
  <si>
    <t>Модуль расширения многофункционального комплекса сетевой защиты «Diamond VPN/FW» 4 x GbE RJ45</t>
  </si>
  <si>
    <t>Сертификат активации сервиса прямой технической поддержки уровня "Стандартный" на 1 год для: «</t>
  </si>
  <si>
    <t>Необходимо преобретение и установка серфицированного аппаратно-программного модуля доверенной загрузки</t>
  </si>
  <si>
    <t>Сертификат активации сервиса прямой технической поддержки  уровня "Стандартный" на 1 год для: «</t>
  </si>
  <si>
    <t>Сертификат активации сервиса прямой технической поддержки  уровня "Стандартный" на 3 года для: «</t>
  </si>
  <si>
    <t>Сертификат активации сервиса прямой технической поддержки  уровня "Стандартный" на 5 лет для: «</t>
  </si>
  <si>
    <t>Аппаратный модуль «Diamond NCC» - 5115</t>
  </si>
  <si>
    <t>Лицензия на право использования программного обеспечения многофункционального комплекса сетевой защиты «Diamond VPN/FW» - 5115. Версия NCC</t>
  </si>
  <si>
    <t>Лицензия на право использования программного обеспечения многофункционального комплекса сетевой защиты «Diamond VPN/FW» - 5115. Версия NCC (VPN)</t>
  </si>
  <si>
    <t>В составе: Аппаратный модуль «Diamond NCC» - 5115, Лицензия на право использования программного обеспечения многофункционального комплекса сетевой защиты «Diamond VPN/FW» - 5115. Версия NCC (VPN)</t>
  </si>
  <si>
    <t>Лицензия на право использования программного обеспечения многофункционального комплекса сетевой защиты «Diamond VPN/FW» - 5115. Версия NCC (FW)</t>
  </si>
  <si>
    <t>Лицензия на право использования программного обеспечения многофункционального комплекса сетевой защиты «Diamond VPN/FW» - 5115. Версия NCC (IDS)</t>
  </si>
  <si>
    <t>В составе: Аппаратный модуль «Diamond NCC» - 5115, Лицензия на право использования программного обеспечения многофункционального комплекса сетевой защиты «Diamond VPN/FW» - 5115. Версия NCC (IDS)</t>
  </si>
  <si>
    <t>В составе: Аппаратный модуль «Diamond NCC» - 5115, Лицензия на право использования программного обеспечения многофункционального комплекса сетевой защиты "Diamond VPN/FW" - 5115. Версия NCC</t>
  </si>
  <si>
    <t>Сертифицированный установочный комплект OEM. многофункционального комплекса сетевой защиты «Diamond VPN/FW».</t>
  </si>
  <si>
    <t>Стандартная техническая поддержка на 3 года включает в себя: 
- все возможности Програмно-аппаратный комплексета гарантийного
обслуживания «Базовый»;
- гарантийное обслуживание уровня "Базовый";
- консультации по вопросам внедрения и работы с системой защиты информации;
- доступ к базе знаний и документации по продукту;
- консультации по телефону в рабочее время без ограничений;
- бесплатные обновления всей линейки продуктов.</t>
  </si>
  <si>
    <t>Расширенная техническая поддержка на 1 год включает в себя: 
- пакет гарантийного обслуживания уровня "Базовый плюс";
- все возможности базового уровня;
- помощь в настройке дополнительного функционала продукта;
- до 50 часов работы технических специалистов на объектах заказчика в регионах присутствия технических центров.</t>
  </si>
  <si>
    <t>Расширенная техническая поддержка на 3 года включает в себя: 
- Програмно-аппаратный комплексет гарантийного обслуживания уровня "Базовый плюс";
- все возможности базового уровня;
- помощь в настройке дополнительного функционала продукта;
- до 50 часов работы технических специалистов на объектах заказчика в регионах присутствия технических центров.</t>
  </si>
  <si>
    <t>Расширенная техническая поддержка на 5 лет включает в себя: 
- пакет гарантийного обслуживания уровня "Базовый плюс";
- все возможности базового уровня;
- помощь в настройке дополнительного функционала продукта;
- до 50 часов работы технических специалистов на объектах заказчика в регионах присутствия технических центров.</t>
  </si>
  <si>
    <t>В составе: Аппаратный модуль «Diamond NCC» - 5115, Лицензия на право использования программного обеспечения многофункционального комплекса сетевой защиты «Diamond VPN/FW» - 5115. Версия NCC (FW)</t>
  </si>
  <si>
    <t>Эксклюзивная техническая поддержка на 1 год включает в себя:
- пакет гарантийного обслуживания уровня "Расширенный";
- все возможности базового уровня;
- помощь в настройке дополнительного функционала продукта;
- до 150 часов работы технических специалистов на объектах заказчика в регионах присутствия технических центров;
- в случае необходимости, осуществляется выезд ведущих разработчиков на объекты заказчика;
- телефонные консультации доступны в круглосуточном режиме.</t>
  </si>
  <si>
    <t>Эксклюзивная техническая поддержка на 3 года включает в себя:
- пакет гарантийного обслуживания уровня "Расширенный";
- все возможности базового уровня;
- помощь в настройке дополнительного функционала продукта;
- до 150 часов работы технических специалистов на объектах заказчика в регионах присутствия технических центров;
- в случае необходимости, осуществляется выезд ведущих разработчиков на объекты заказчика;
- телефонные консультации доступны в круглосуточном режиме.</t>
  </si>
  <si>
    <t>Эксклюзивная техническая поддержка на 5 лет включает в себя:
- пакет гарантийного обслуживания уровня "Расширенный";
- все возможности базового уровня;
- помощь в настройке дополнительного функционала продукта;
- до 150 часов работы технических специалистов на объектах заказчика в регионах присутствия технических центров;
- в случае необходимости, осуществляется выезд ведущих разработчиков на объекты заказчика;
- телефонные консультации доступны в круглосуточном режиме.</t>
  </si>
  <si>
    <t>Стоимость технической поддержки рассчитывается в процентном соотношении от суммарной стоимости лицензии на право использования программного обеспечения и стоимости аппаратного модуля.
Подробнее о программах поддержки: https://www.tssltd.ru/support/plans</t>
  </si>
  <si>
    <t xml:space="preserve">Реализация технической поддержки совместно с партнерами. </t>
  </si>
  <si>
    <t>Стандартная техническая поддержка на 1 год включает в себя: 
- пакет гарантийного обслуживания уровня "Базовый";
- консультации по вопросам внедрения и работы с системой защиты информации;
- доступ к базе знаний и документации по продукту;
- консультации по телефону в рабочее время без ограничений;
- бесплатные обновления всей линейки продуктов.</t>
  </si>
  <si>
    <t>программное обеспечение многофункционального комплекса сетевой защиты «Diamond VPN/FW» - 6101. Версия IDS</t>
  </si>
  <si>
    <t>Лицензия на право использования программного обеспечения многофункционального комплекса сетевой защиты «Diamond VPN/FW» - 1101. Версия IDS</t>
  </si>
  <si>
    <t>Лицензия на право использования программного обеспечения многофункционального комплекса сетевой защиты «Diamond VPN/FW» - 2111. Версия IDS</t>
  </si>
  <si>
    <t>Лицензия на право использования программного обеспечения многофункционального комплекса сетевой защиты «Diamond VPN/FW» - 3101. Версия IDS</t>
  </si>
  <si>
    <t>Лицензия на право использования программного обеспечения многофункционального комплекса сетевой защиты «Diamond VPN/FW» - 4101. Версия IDS</t>
  </si>
  <si>
    <t>Лицензия на право использования программного обеспечения многофункционального комплекса сетевой защиты «Diamond VPN/FW» - 4105. Версия IDS</t>
  </si>
  <si>
    <t>Лицензия на право использования программного обеспечения многофункционального комплекса сетевой защиты «Diamond VPN/FW» - 5101. Версия IDS</t>
  </si>
  <si>
    <t>Лицензия на право использования программного обеспечения многофункционального комплекса сетевой защиты «Diamond VPN/FW» - 5111. Версия IDS</t>
  </si>
  <si>
    <t>Лицензия на право использования программного обеспечения многофункционального комплекса сетевой защиты «Diamond VPN/FW» - 5121. Версия IDS</t>
  </si>
  <si>
    <t>Лицензия на право использования программного обеспечения многофункционального комплекса сетевой защиты «Diamond VPN/FW» - 7101. Версия IDS</t>
  </si>
  <si>
    <t>Лицензия на право использования программного обеспечения многофункционального комплекса сетевой защиты «Diamond VPN/FW» - 7141. Версия IDS</t>
  </si>
  <si>
    <t>Лицензия на право использования программного обеспечения многофункционального комплекса сетевой защиты «Diamond VPN/FW» -  7151. Версия IDS</t>
  </si>
  <si>
    <t>Лицензия на право использования программного обеспечения многофункционального комплекса сетевой защиты «Diamond VPN/FW» - 8101. Версия IDS</t>
  </si>
  <si>
    <t>Многофункциональный комплекс сетевой защиты «Diamond VPN/FW» - 1101. Версия IDS»</t>
  </si>
  <si>
    <t>Многофункциональный комплекс сетевой защиты «Diamond VPN/FW» - 2111. Версия IDS»</t>
  </si>
  <si>
    <t>Многофункциональный комплекс сетевой защиты «Diamond VPN/FW» - 3101. Версия IDS»</t>
  </si>
  <si>
    <t>Многофункциональный комплекс сетевой защиты «Diamond VPN/FW» - 4101. Версия IDS»</t>
  </si>
  <si>
    <t>Многофункциональный комплекс сетевой защиты «Diamond VPN/FW» - 4105. Версия IDS»</t>
  </si>
  <si>
    <t xml:space="preserve">Многофункциональный комплекс сетевой защиты «Diamond VPN/FW» - 1101. Версия IDS в составе : </t>
  </si>
  <si>
    <t>Многофункциональный комплекс сетевой защиты «Diamond VPN/FW» - 5101. Версия IDS»</t>
  </si>
  <si>
    <t>Многофункциональный комплекс сетевой защиты «Diamond VPN/FW» - 5111. Версия IDS»</t>
  </si>
  <si>
    <t>Многофункциональный комплекс сетевой защиты «Diamond VPN/FW» - 5121. Версия IDS»</t>
  </si>
  <si>
    <t>Многофункциональный комплекс сетевой защиты «Diamond VPN/FW» - 6101. Версия IDS»</t>
  </si>
  <si>
    <t>Многофункциональный комплекс сетевой защиты «Diamond VPN/FW» - 7101. Версия IDS»</t>
  </si>
  <si>
    <t>Многофункциональный комплекс сетевой защиты «Diamond VPN/FW» - 7141. Версия IDS»</t>
  </si>
  <si>
    <t>Многофункциональный комплекс сетевой защиты «Diamond VPN/FW» - 7151. Версия IDS»</t>
  </si>
  <si>
    <t>Многофункциональный комплекс сетевой защиты«Diamond VPN/FW» - 2111. Версия IDS  в составе:</t>
  </si>
  <si>
    <t>Многофункциональный комплекс сетевой защиты «Diamond VPN/FW» - 8101. Версия IDS»</t>
  </si>
  <si>
    <t>Многофункциональный комплекс сетевой защиты «Diamond VPN/FW» - 3101. Версия IDS в составе:</t>
  </si>
  <si>
    <t xml:space="preserve">Многофункциональный комплекс сетевой защиты «Diamond VPN/FW» - 4101. Версия IDS в составе: </t>
  </si>
  <si>
    <t>Многофункциональный комплекс сетевой защиты «Diamond VPN/FW» - 4105. Версия IDS в составе:</t>
  </si>
  <si>
    <t>Многофункциональный комплекс сетевой защиты «Diamond VPN/FW» - 5101. Версия IDS в составе:</t>
  </si>
  <si>
    <t>Многофункциональный комплекс сетевой защиты «Diamond VPN/FW» - 5111. Версия IDS в составе:</t>
  </si>
  <si>
    <t xml:space="preserve">Многофункциональный комплекс сетевой защиты «Diamond VPN/FW» - 5121. Версия IDS в составе: </t>
  </si>
  <si>
    <t xml:space="preserve">Многофункциональный комплекс сетевой защиты «Diamond VPN/FW» - 6101. Версия IDS в составе: </t>
  </si>
  <si>
    <t>Многофункциональный комплекс сетевой защиты «Diamond VPN/FW» - 7101. Версия IDS в составе:</t>
  </si>
  <si>
    <t>Многофункциональный комплекс сетевой защиты «Diamond VPN/FW» - 7141. Версия IDS в составе:</t>
  </si>
  <si>
    <t>Многофункциональный комплекс сетевой защиты «Diamond VPN/FW» -  7151. Версия IDS в составе:</t>
  </si>
  <si>
    <t xml:space="preserve">Многофункциональный комплекс сетевой защиты «Diamond VPN/FW» - 8101. Версия IDS в составе: </t>
  </si>
  <si>
    <t>Сертифицированный установочный комплект OEM. Многофункциональный комплекс сетевой защиты «Diamond VPN/FW».</t>
  </si>
  <si>
    <t>Сертифицированный установочный комплект. Многофункциональный комплекс сетевой защиты «Diamond VPN/FW».</t>
  </si>
  <si>
    <t>Программно-аппаратный комплекс многофункционального комплекса сетевой защиты «Diamond VPN/FW» - 1101. Версия IDS</t>
  </si>
  <si>
    <t xml:space="preserve">Программно-аппаратный комплекс многофункционального комплекса сетевой защиты «Diamond VPN/FW» - 2111. Версия IDS </t>
  </si>
  <si>
    <t xml:space="preserve">Программно-аппаратный комплекс многофункционального комплекса сетевой защиты «Diamond VPN/FW» - 3101. Версия IDS </t>
  </si>
  <si>
    <t xml:space="preserve">Программно-аппаратный комплекс многофункционального комплекса сетевой защиты «Diamond VPN/FW» - 4101. Версия IDS  </t>
  </si>
  <si>
    <t xml:space="preserve">Программно-аппаратный комплекс многофункционального комплекса сетевой защиты «Diamond VPN/FW» - 4105. Версия IDS </t>
  </si>
  <si>
    <t xml:space="preserve">Программно-аппаратный комплекс многофункционального комплекса сетевой защиты «Diamond VPN/FW» - 5101. Версия IDS </t>
  </si>
  <si>
    <t xml:space="preserve">Программно-аппаратный комплекс многофункционального комплекса сетевой защиты «Diamond VPN/FW» - 5111. Версия IDS </t>
  </si>
  <si>
    <t xml:space="preserve">Программно-аппаратный комплекс многофункционального комплекса сетевой защиты «Diamond VPN/FW» - 5121. Версия IDS </t>
  </si>
  <si>
    <t xml:space="preserve">Программно-аппаратный комплекс многофункционального комплекса сетевой защиты «Diamond VPN/FW» - 6101. Версия IDS </t>
  </si>
  <si>
    <t xml:space="preserve">Программно-аппаратный комплекс многофункционального комплекса сетевой защиты «Diamond VPN/FW» - 7101. Версия IDS </t>
  </si>
  <si>
    <t xml:space="preserve">Программно-аппаратный комплекс многофункционального комплекса сетевой защиты «Diamond VPN/FW» - 7141. Версия IDS </t>
  </si>
  <si>
    <t xml:space="preserve">Программно-аппаратный комплекс многофункционального комплекса сетевой защиты «Diamond VPN/FW» -  7151. Версия IDS </t>
  </si>
  <si>
    <t xml:space="preserve">Программно-аппаратный комплекс многофункционального комплекса сетевой защиты «Diamond VPN/FW» - 8101. Версия IDS  </t>
  </si>
  <si>
    <t>Аппаратный модуль «Diamond VPN/FW» - 1101</t>
  </si>
  <si>
    <t>Аппаратный модуль «Diamond VPN/FW» - 2111</t>
  </si>
  <si>
    <t>Аппаратный модуль «Diamond VPN/FW» - 3101</t>
  </si>
  <si>
    <t>Аппаратный модуль «Diamond VPN/FW» - 4101</t>
  </si>
  <si>
    <t>Аппаратный модуль «Diamond VPN/FW» - 4105</t>
  </si>
  <si>
    <t>Аппаратный модуль «Diamond VPN/FW» - 5101</t>
  </si>
  <si>
    <t>Аппаратный модуль «Diamond VPN/FW» - 5111</t>
  </si>
  <si>
    <t>Аппаратный модуль «Diamond VPN/FW» - 5121</t>
  </si>
  <si>
    <t>Аппаратный модуль «Diamond VPN/FW» - 6101</t>
  </si>
  <si>
    <t>Аппаратный модуль «Diamond VPN/FW» - 7101</t>
  </si>
  <si>
    <t>Аппаратный модуль «Diamond VPN/FW» - 7141</t>
  </si>
  <si>
    <t>Аппаратный модуль «Diamond VPN/FW» - 7151</t>
  </si>
  <si>
    <t>Аппаратный модуль «Diamond VPN/FW» - 8101</t>
  </si>
  <si>
    <t>Фирменная коробка, формуляр формата А5, USB-носитель с дистрибутивными файлАппаратный модульи и эксплуатационной документацией</t>
  </si>
  <si>
    <t>Многофункциональный комплекс сетевой защиты «Diamond VPN/FW» - 1101. Версия FW уровня сети, уровня логических границ сети»</t>
  </si>
  <si>
    <t>Многофункциональный комплекс сетевой защиты «Diamond VPN/FW» - 2111. Версия FW уровня сети, уровня логических границ сети»</t>
  </si>
  <si>
    <t>Многофункциональный комплекс сетевой защиты «Diamond VPN/FW» - 3101. Версия FW уровня сети, уровня логических границ сети»</t>
  </si>
  <si>
    <t>Многофункциональный комплекс сетевой защиты «Diamond VPN/FW» - 4101. Версия FW уровня сети, уровня логических границ сети»</t>
  </si>
  <si>
    <t>Многофункциональный комплекс сетевой защиты «Diamond VPN/FW» - 4105. Версия FW уровня сети, уровня логических границ сети»</t>
  </si>
  <si>
    <t>Многофункциональный комплекс сетевой защиты «Diamond VPN/FW» - 5101. Версия FW уровня сети, уровня логических границ сети»</t>
  </si>
  <si>
    <t>Многофункциональный комплекс сетевой защиты «Diamond VPN/FW» - 5111. Версия FW уровня сети, уровня логических границ сети»</t>
  </si>
  <si>
    <t>Многофункциональный комплекс сетевой защиты «Diamond VPN/FW» - 5121. Версия FW уровня сети, уровня логических границ сети»</t>
  </si>
  <si>
    <t>Многофункциональный комплекс сетевой защиты «Diamond VPN/FW» - 6101. Версия FW уровня сети, уровня логических границ сети»</t>
  </si>
  <si>
    <t>Многофункциональный комплекс сетевой защиты «Diamond VPN/FW» - 7101. Версия FW уровня сети, уровня логических границ сети»</t>
  </si>
  <si>
    <t>Многофункциональный комплекс сетевой защиты «Diamond VPN/FW» - 7141. Версия FW уровня сети, уровня логических границ сети»</t>
  </si>
  <si>
    <t>Многофункциональный комплекс сетевой защиты «Diamond VPN/FW» - 7151. Версия FW уровня сети, уровня логических границ сети»</t>
  </si>
  <si>
    <t>Многофункциональный комплекс сетевой защиты «Diamond VPN/FW» - 8101. Версия FW уровня сети, уровня логических границ сети»</t>
  </si>
  <si>
    <t>Лицензия на право использования  программного обеспечения многофункционального комплекса сетевой защиты «Diamond VPN/FW» -  1101. Версия FW уровня сети, уровня логических границ сети</t>
  </si>
  <si>
    <t>Лицензия на право использования  программного обеспечения многофункционального комплекса сетевой защиты «Diamond VPN/FW» -  2111. Версия FW уровня сети, уровня логических границ сети</t>
  </si>
  <si>
    <t>Лицензия на право использования  программного обеспечения многофункционального комплекса сетевой защиты «Diamond VPN/FW» -  3101. Версия FW уровня сети, уровня логических границ сети</t>
  </si>
  <si>
    <t>Лицензия на право использования  программного обеспечения многофункционального комплекса сетевой защиты «Diamond VPN/FW» -  4101. Версия FW уровня сети, уровня логических границ сети</t>
  </si>
  <si>
    <t>Лицензия на право использования  программного обеспечения многофункционального комплекса сетевой защиты «Diamond VPN/FW» -  4105. Версия FW уровня сети, уровня логических границ сети</t>
  </si>
  <si>
    <t>Лицензия на право использования  программного обеспечения многофункционального комплекса сетевой защиты «Diamond VPN/FW» -  5101. Версия FW уровня сети, уровня логических границ сети</t>
  </si>
  <si>
    <t>Лицензия на право использования  программного обеспечения многофункционального комплекса сетевой защиты «Diamond VPN/FW» -  5111. Версия FW уровня сети, уровня логических границ сети</t>
  </si>
  <si>
    <t>Лицензия на право использования  программного обеспечения многофункционального комплекса сетевой защиты «Diamond VPN/FW» -  5121. Версия FW уровня сети, уровня логических границ сети</t>
  </si>
  <si>
    <t>Лицензия на право использования  программного обеспечения многофункционального комплекса сетевой защиты «Diamond VPN/FW» -  6101. Версия FW уровня сети, уровня логических границ сети</t>
  </si>
  <si>
    <t>Лицензия на право использования  программного обеспечения многофункционального комплекса сетевой защиты «Diamond VPN/FW» -  7101. Версия FW уровня сети, уровня логических границ сети</t>
  </si>
  <si>
    <t>Лицензия на право использования  программного обеспечения многофункционального комплекса сетевой защиты «Diamond VPN/FW» -  7141. Версия FW уровня сети, уровня логических границ сети</t>
  </si>
  <si>
    <t>Лицензия на право использования  программного обеспечения многофункционального комплекса сетевой защиты «Diamond VPN/FW» -  7151. Версия FW уровня сети, уровня логических границ сети</t>
  </si>
  <si>
    <t>Лицензия на право использования  программного обеспечения многофункционального комплекса сетевой защиты «Diamond VPN/FW» -  8101. Версия FW уровня сети, уровня логических границ сети</t>
  </si>
  <si>
    <t>Программно-аппаратный комплекс многофункционального комплекса сетевой защиты «Diamond VPN/FW» -  1101. Версия FW уровня сети, уровня логических границ сети</t>
  </si>
  <si>
    <t>Программно-аппаратный комплекс многофункционального комплекса сетевой защиты«Diamond VPN/FW» - 2111. Версия FW уровня сети, уровня логических границ сети</t>
  </si>
  <si>
    <t>Программно-аппаратный комплекс многофункционального комплекса сетевой защиты «Diamond VPN/FW» -  3101. Версия FW уровня сети, уровня логических границ сети</t>
  </si>
  <si>
    <t>Программно-аппаратный комплекс многофункционального комплекса сетевой защиты «Diamond VPN/FW» -  4101. Версия FW уровня сети, уровня логических границ сети</t>
  </si>
  <si>
    <t>Программно-аппаратный комплекс многофункционального комплекса сетевой защиты «Diamond VPN/FW» -  4105. Версия FW уровня сети, уровня логических границ сети</t>
  </si>
  <si>
    <t>Программно-аппаратный комплекс многофункционального комплекса сетевой защиты «Diamond VPN/FW» -  5101. Версия FW уровня сети, уровня логических границ сети</t>
  </si>
  <si>
    <t>Программно-аппаратный комплекс многофункционального комплекса сетевой защиты «Diamond VPN/FW» -  5111. Версия FW уровня сети, уровня логических границ сети</t>
  </si>
  <si>
    <t>Программно-аппаратный комплекс многофункционального комплекса сетевой защиты «Diamond VPN/FW» -  5121. Версия FW уровня сети, уровня логических границ сети</t>
  </si>
  <si>
    <t>Программно-аппаратный комплекс многофункционального комплекса сетевой защиты «Diamond VPN/FW» -  6101. Версия FW уровня сети, уровня логических границ сети</t>
  </si>
  <si>
    <t>Программно-аппаратный комплекс многофункционального комплекса сетевой защиты «Diamond VPN/FW» -  7101. Версия FW уровня сети, уровня логических границ сети</t>
  </si>
  <si>
    <t>Программно-аппаратный комплекс многофункционального комплекса сетевой защиты «Diamond VPN/FW» -  7141. Версия FW уровня сети, уровня логических границ сети</t>
  </si>
  <si>
    <t>Программно-аппаратный комплекс многофункционального комплекса сетевой защиты «Diamond VPN/FW» -  7151. Версия FW уровня сети, уровня логических границ сети</t>
  </si>
  <si>
    <t>Программно-аппаратный комплекс многофункционального комплекса сетевой защиты «Diamond VPN/FW» -  8101. Версия FW уровня сети, уровня логических границ сети</t>
  </si>
  <si>
    <t>Сертификация: ФСТЭК (4-й класс защиты, межсетевой экран типа «А», «Б»). 
В составе:  Аппаратный модуль "Diamond VPN/FW" - 6101,  Лицензия на право использования программного обеспечения программного обеспечения многофункционального комплекса сетевой защиты "Diamond VPN/FW" - 6101. Версия FW</t>
  </si>
  <si>
    <t>Сертификация: ФСТЭК (4-й класс защиты, межсетевой экран типа «А», «Б»). 
Стоимость  программного обеспечения многофункционального комплекса сетевой защиты«Diamond VPN/FW» - 6101. Версия FW включает в себя стоимость  программного обеспечения многофункционального комплекса сетевой защиты «Diamond VPN/FW». Версия VPN</t>
  </si>
  <si>
    <t>Многофункциональный комплекс сетевой защиты «Diamond VPN/FW» - 1101. Версия VPN»</t>
  </si>
  <si>
    <t>Многофункциональный комплекс сетевой защиты «Diamond VPN/FW» - 2111. Версия VPN»</t>
  </si>
  <si>
    <t>Многофункциональный комплекс сетевой защиты «Diamond VPN/FW» - 3101. Версия VPN»</t>
  </si>
  <si>
    <t>Многофункциональный комплекс сетевой защиты «Diamond VPN/FW» - 4101. Версия VPN»</t>
  </si>
  <si>
    <t>Многофункциональный комплекс сетевой защиты «Diamond VPN/FW» - 4105. Версия VPN»</t>
  </si>
  <si>
    <t>Многофункциональный комплекс сетевой защиты «Diamond VPN/FW» - 5101. Версия VPN»</t>
  </si>
  <si>
    <t>Многофункциональный комплекс сетевой защиты «Diamond VPN/FW» - 5111. Версия VPN»</t>
  </si>
  <si>
    <t>Многофункциональный комплекс сетевой защиты «Diamond VPN/FW» - 5121. Версия VPN»</t>
  </si>
  <si>
    <t>Многофункциональный комплекс сетевой защиты «Diamond VPN/FW» - 6101. Версия VPN»</t>
  </si>
  <si>
    <t>Многофункциональный комплекс сетевой защиты «Diamond VPN/FW» - 7101. Версия VPN»</t>
  </si>
  <si>
    <t>Многофункциональный комплекс сетевой защиты «Diamond VPN/FW» - 7141. Версия VPN»</t>
  </si>
  <si>
    <t>Многофункциональный комплекс сетевой защиты «Diamond VPN/FW» - 7151. Версия VPN»</t>
  </si>
  <si>
    <t>Многофункциональный комплекс сетевой защиты «Diamond VPN/FW» - 8101. Версия VPN»</t>
  </si>
  <si>
    <t>Лицензия на право использования клиента многофункционального комплекса сетевой защиты «Diamond VPN/FW». Версия VPN</t>
  </si>
  <si>
    <t>Сертификация: ФСТЭК (4-й класс защиты, межсетевой экран типа «В»)
Стоимость  программного обеспечения многофункционального комплекса сетевой защиты «Diamond VPN/FW». Версия FW включает в себя стоимость программного обеспечения многофункционального комплекса сетевой защиты «Diamond VPN/FW». Версия VPN</t>
  </si>
  <si>
    <t>Многофункциональный комплекс сетевой защиты «m-Trust-Diamond VPN/FW» - 0501. Версия VPN»</t>
  </si>
  <si>
    <t>Многофункциональный комплекс сетевой защиты «TOPAZ IEC DAS MX 240 E2R4-Diamond VPN/FW» - 0502. Версия VPN»</t>
  </si>
  <si>
    <t>Лицензия на право использования многофункционального комплекса сетевой защиты «m-Trust-Diamond VPN/FW» - 0501. Версия VPN</t>
  </si>
  <si>
    <t>Многофункциональный комплекс сетевой защиты «Diamond VPN/FW» - 2111. Версия VPN  в составе:</t>
  </si>
  <si>
    <t>Многофункциональный комплекс сетевой защиты «Diamond VPN/FW» - 3101. Версия VPN в составе:</t>
  </si>
  <si>
    <t xml:space="preserve">Многофункциональный комплекс сетевой защиты «Diamond VPN/FW» - 4101. Версия VPN в составе: </t>
  </si>
  <si>
    <t>Многофункциональный комплекс сетевой защиты «Diamond VPN/FW» - 4105. Версия VPN в составе:</t>
  </si>
  <si>
    <t>Многофункциональный комплекс сетевой защиты «Diamond VPN/FW» - 5101. Версия VPN в составе:</t>
  </si>
  <si>
    <t>Многофункциональный комплекс сетевой защиты «Diamond VPN/FW»- 5111. Версия VPN в составе:</t>
  </si>
  <si>
    <t xml:space="preserve">Многофункциональный комплекс сетевой защиты «Diamond VPN/FW» - 5121. Версия VPN в составе: </t>
  </si>
  <si>
    <t xml:space="preserve">Многофункциональный комплекс сетевой защиты «Diamond VPN/FW» - 6101. Версия VPN в составе: </t>
  </si>
  <si>
    <t>Многофункциональный комплекс сетевой защиты «Diamond VPN/FW» - 7101. Версия VPN в составе:</t>
  </si>
  <si>
    <t>Многофункциональный комплекс сетевой защиты «Diamond VPN/FW» - 7141. Версия VPN в составе:</t>
  </si>
  <si>
    <t>Многофункциональный комплекс сетевой защиты «Diamond VPN/FW» -  7151. Версия VPN в составе:</t>
  </si>
  <si>
    <t xml:space="preserve">Многофункциональный комплекс сетевой защиты «Diamond VPN/FW» - 8101. Версия VPN в составе: </t>
  </si>
  <si>
    <t xml:space="preserve">Аппаратный модуль «Diamond VPN/FW» - 1101 </t>
  </si>
  <si>
    <t>Лицензия на право использования программного обеспечения многофункционального комплекса сетевой защиты «Diamond VPN/FW» - 1101. Версия VPN</t>
  </si>
  <si>
    <t>Лицензия на право использования программного обеспечения многофункционального комплекса сетевой защиты «Diamond VPN/FW» - 2111. Версия VPN</t>
  </si>
  <si>
    <t>Лицензия на право использования программного обеспечения многофункционального комплекса сетевой защиты «Diamond VPN/FW» - 3101. Версия VPN</t>
  </si>
  <si>
    <t>Лицензия на право использования программного обеспечения многофункционального комплекса сетевой защиты «Diamond VPN/FW» - 4101. Версия VPN</t>
  </si>
  <si>
    <t>Лицензия на право использования программного обеспечения многофункционального комплекса сетевой защиты «Diamond VPN/FW» - 4105. Версия VPN</t>
  </si>
  <si>
    <t>Лицензия на право использования программного обеспечения многофункционального комплекса сетевой защиты «Diamond VPN/FW» - 5101. Версия VPN</t>
  </si>
  <si>
    <t>Лицензия на право использования программного обеспечения многофункционального комплекса сетевой защиты «Diamond VPN/FW» - 5111. Версия VPN</t>
  </si>
  <si>
    <t>Лицензия на право использования программного обеспечения многофункционального комплекса сетевой защиты «Diamond VPN/FW» - 5121. Версия VPN</t>
  </si>
  <si>
    <t>Лицензия на право использования программного обеспечения многофункционального комплекса сетевой защиты «Diamond VPN/FW» - 6101. Версия VPN</t>
  </si>
  <si>
    <t>Лицензия на право использования программного обеспечения многофункционального комплекса сетевой защиты «Diamond VPN/FW» - 7101. Версия VPN</t>
  </si>
  <si>
    <t>Лицензия на право использования программного обеспечения многофункционального комплекса сетевой защиты «Diamond VPN/FW» - 7141. Версия VPN</t>
  </si>
  <si>
    <t>Лицензия на право использования программного обеспечения многофункционального комплекса сетевой защиты «Diamond VPN/FW» -  7151. Версия VPN</t>
  </si>
  <si>
    <t>Лицензия на право использования программного обеспечения многофункционального комплекса сетевой защиты «Diamond VPN/FW» - 8101. Версия VPN</t>
  </si>
  <si>
    <t>Программное обеспечение многофункционального комплекса сетевой защиты «Diamond VPN/FW» - 1101.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</si>
  <si>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>Программное обеспечение многофункционального комплекса сетевой защиты «Diamond VPN/FW» - 2111.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</si>
  <si>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>Программное обеспечение многофункционального комплекса сетевой защиты «Diamond VPN/FW» - 3101.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</si>
  <si>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>Программное обеспечение многофункционального комплекса сетевой защиты «Diamond VPN/FW» - 4101.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</si>
  <si>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>Программное обеспечение многофункционального комплекса сетевой защиты «Diamond VPN/FW» - 4105.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</si>
  <si>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>Программное обеспечение многофункционального комплекса сетевой защиты «Diamond VPN/FW» - 5101.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</si>
  <si>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>Программное обеспечение многофункционального комплекса сетевой защиты «Diamond VPN/FW» - 5111.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</si>
  <si>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>Программное обеспечение многофункционального комплекса сетевой защиты «Diamond VPN/FW» - 5121.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</si>
  <si>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>Программное обеспечение многофункционального комплекса сетевой защиты «Diamond VPN/FW» - 6101.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</si>
  <si>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>Программное обеспечение многофункционального комплекса сетевой защиты «Diamond VPN/FW» - 7101.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</si>
  <si>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>Программное обеспечение многофункционального комплекса сетевой защиты «Diamond VPN/FW» - 7141.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</si>
  <si>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>Программное обеспечение многофункционального комплекса сетевой защиты «Diamond VPN/FW» - 7151.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</si>
  <si>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>Программное обеспечение многофункционального комплекса сетевой защиты «Diamond VPN/FW» - 8101.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</si>
  <si>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 xml:space="preserve">Программно-аппаратный комплекс многофункционального комплекса сетевой защиты«Diamond VPN/FW» - 2111. Версия UTM </t>
  </si>
  <si>
    <t xml:space="preserve">Программно-аппаратный комплекс многофункционального комплекса сетевой защиты «Diamond VPN/FW» -  3101. Версия UTM </t>
  </si>
  <si>
    <t xml:space="preserve">Программно-аппаратный комплекс многофункционального комплекса сетевой защиты «Diamond VPN/FW» -  4101. Версия UTM  </t>
  </si>
  <si>
    <t xml:space="preserve">Программно-аппаратный комплекс многофункционального комплекса сетевой защиты «Diamond VPN/FW» -  4105. Версия UTM </t>
  </si>
  <si>
    <t xml:space="preserve">Программно-аппаратный комплекс многофункционального комплекса сетевой защиты «Diamond VPN/FW» -  5101. Версия UTM </t>
  </si>
  <si>
    <t xml:space="preserve">Программно-аппаратный комплекс многофункционального комплекса сетевой защиты «Diamond VPN/FW» -  5111. Версия UTM </t>
  </si>
  <si>
    <t xml:space="preserve">Программно-аппаратный комплекс многофункционального комплекса сетевой защиты «Diamond VPN/FW» -  5121. Версия UTM </t>
  </si>
  <si>
    <t xml:space="preserve">Программно-аппаратный комплекс многофункционального комплекса сетевой защиты «Diamond VPN/FW» -  6101. Версия UTM </t>
  </si>
  <si>
    <t xml:space="preserve">Программно-аппаратный комплекс многофункционального комплекса сетевой защиты «Diamond VPN/FW» -  7101. Версия UTM </t>
  </si>
  <si>
    <t xml:space="preserve">Программно-аппаратный комплекс многофункционального комплекса сетевой защиты «Diamond VPN/FW» -  7141. Версия UTM </t>
  </si>
  <si>
    <t xml:space="preserve">Программно-аппаратный комплекс многофункционального комплекса сетевой защиты «Diamond VPN/FW» -  7151. Версия UTM </t>
  </si>
  <si>
    <t xml:space="preserve">Программно-аппаратный комплекс многофункционального комплекса сетевой защиты «Diamond VPN/FW» -  8101. Версия UTM  </t>
  </si>
  <si>
    <t>Программно-аппаратный комплекс многофункционального комплекса сетевой защиты «m-Trust-Diamond VPN/FW» - 0501. Версия VPN</t>
  </si>
  <si>
    <t>Программно-аппаратный комплекс многофункционального комплекса сетевой защиты «TOPAZ IEC DAS MX 240 E2R4-Diamond VPN/FW» - 0501. Версия VPN</t>
  </si>
  <si>
    <t>Программно-аппаратный комплекс многофункционального комплекса сетевой защиты «Diamond VPN/FW» - 1101. Версия VPN</t>
  </si>
  <si>
    <t>Программно-аппаратный комплекс многофункционального комплекса сетевой защиты «Diamond VPN/FW» - 1101.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
В составе:  Аппаратный модуль "Diamond VPN/FW" - 1101, Лицензия на право использования программного обеспечения многофункционального комплекса сетевой защиты «Diamond VPN/FW» - 1101. Версия VPN</t>
  </si>
  <si>
    <t xml:space="preserve">Программно-аппаратный комплекс многофункционального комплекса сетевой защиты «Diamond VPN/FW» - 2111. Версия VPN </t>
  </si>
  <si>
    <t>Программно-аппаратный комплекс многофункционального комплекса сетевой защиты «Diamond VPN/FW» - 2111.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
В составе:  Аппаратный модуль "Diamond VPN/FW" - 2111, Лицензия на право использования программного обеспечения многофункционального комплекса сетевой защиты «Diamond VPN/FW» - 2111. Версия VPN</t>
  </si>
  <si>
    <t xml:space="preserve">Программно-аппаратный комплекс многофункционального комплекса сетевой защиты «Diamond VPN/FW» - 3101. Версия VPN </t>
  </si>
  <si>
    <t>Программно-аппаратный комплекс многофункционального комплекса сетевой защиты «Diamond VPN/FW» - 3101.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
В составе:  Аппаратный модуль "Diamond VPN/FW" - 3101, Лицензия на право использования программного обеспечения многофункционального комплекса сетевой защиты «Diamond VPN/FW» - 3101. Версия VPN</t>
  </si>
  <si>
    <t xml:space="preserve">Программно-аппаратный комплекс многофункционального комплекса сетевой защиты «Diamond VPN/FW» - 4101. Версия VPN  </t>
  </si>
  <si>
    <t>Программно-аппаратный комплекс многофункционального комплекса сетевой защиты «Diamond VPN/FW» - 4101.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
В составе:  Аппаратный модуль "Diamond VPN/FW" - 4101, Лицензия на право использования программного обеспечения многофункционального комплекса сетевой защиты «Diamond VPN/FW» - 4101. Версия VPN</t>
  </si>
  <si>
    <t xml:space="preserve">Программно-аппаратный комплекс многофункционального комплекса сетевой защиты «Diamond VPN/FW» - 4105. Версия VPN </t>
  </si>
  <si>
    <t>Программно-аппаратный комплекс многофункционального комплекса сетевой защиты «Diamond VPN/FW» - 4105.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
В составе:  Аппаратный модуль "Diamond VPN/FW" - 4105, Лицензия на право использования программного обеспечения многофункционального комплекса сетевой защиты «Diamond VPN/FW» - 4105. Версия VPN</t>
  </si>
  <si>
    <t xml:space="preserve">Программно-аппаратный комплекс многофункционального комплекса сетевой защиты «Diamond VPN/FW» - 5101. Версия VPN </t>
  </si>
  <si>
    <t>Программно-аппаратный комплекс многофункционального комплекса сетевой защиты «Diamond VPN/FW» - 5101.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
В составе:  Аппаратный модуль "Diamond VPN/FW" - 5101, Лицензия на право использования программного обеспечения многофункционального комплекса сетевой защиты «Diamond VPN/FW» - 5101. Версия VPN</t>
  </si>
  <si>
    <t xml:space="preserve">Программно-аппаратный комплекс многофункционального комплекса сетевой защиты «Diamond VPN/FW» - 5111. Версия VPN </t>
  </si>
  <si>
    <t>Программно-аппаратный комплекс многофункционального комплекса сетевой защиты «Diamond VPN/FW» - 5111.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
В составе:  Аппаратный модуль "Diamond VPN/FW" - 5111, Лицензия на право использования программного обеспечения многофункционального комплекса сетевой защиты «Diamond VPN/FW» - 5111. Версия VPN</t>
  </si>
  <si>
    <t xml:space="preserve">Программно-аппаратный комплекс многофункционального комплекса сетевой защиты «Diamond VPN/FW» - 5121. Версия VPN </t>
  </si>
  <si>
    <t>Программно-аппаратный комплекс многофункционального комплекса сетевой защиты «Diamond VPN/FW» - 5121.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
В составе:  Аппаратный модуль "Diamond VPN/FW" - 5121, Лицензия на право использования программного обеспечения многофункционального комплекса сетевой защиты «Diamond VPN/FW» - 5121. Версия VPN</t>
  </si>
  <si>
    <t xml:space="preserve">Программно-аппаратный комплекс многофункционального комплекса сетевой защиты «Diamond VPN/FW» - 6101. Версия VPN </t>
  </si>
  <si>
    <t>Программно-аппаратный комплекс многофункционального комплекса сетевой защиты «Diamond VPN/FW» - 6101.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
В составе:  Аппаратный модуль "Diamond VPN/FW" - 6101, Лицензия на право использования программного обеспечения многофункционального комплекса сетевой защиты «Diamond VPN/FW» - 6101. Версия VPN</t>
  </si>
  <si>
    <t xml:space="preserve">Программно-аппаратный комплекс многофункционального комплекса сетевой защиты «Diamond VPN/FW» - 7101. Версия VPN </t>
  </si>
  <si>
    <t>Программно-аппаратный комплекс многофункционального комплекса сетевой защиты «Diamond VPN/FW» - 7101.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
В составе:  Аппаратный модуль "Diamond VPN/FW" - 7101, Лицензия на право использования программного обеспечения многофункционального комплекса сетевой защиты «Diamond VPN/FW» - 7101. Версия VPN</t>
  </si>
  <si>
    <t xml:space="preserve">Программно-аппаратный комплекс многофункционального комплекса сетевой защиты «Diamond VPN/FW» - 7141. Версия VPN </t>
  </si>
  <si>
    <t>Программно-аппаратный комплекс многофункционального комплекса сетевой защиты «Diamond VPN/FW» - 7141.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
В составе:  Аппаратный модуль "Diamond VPN/FW" - 7141, Лицензия на право использования программного обеспечения многофункционального комплекса сетевой защиты «Diamond VPN/FW» - 7141. Версия VPN</t>
  </si>
  <si>
    <t xml:space="preserve">Программно-аппаратный комплекс многофункционального комплекса сетевой защиты «Diamond VPN/FW» -  7151. Версия VPN </t>
  </si>
  <si>
    <t>Программно-аппаратный комплекс многофункционального комплекса сетевой защиты «Diamond VPN/FW» - 7151.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
В составе:  Аппаратный модуль "Diamond VPN/FW" - 7151, Лицензия на право использования программного обеспечения многофункционального комплекса сетевой защиты «Diamond VPN/FW» - 7151. Версия VPN</t>
  </si>
  <si>
    <t xml:space="preserve">Программно-аппаратный комплекс многофункционального комплекса сетевой защиты «Diamond VPN/FW» - 8101. Версия VPN  </t>
  </si>
  <si>
    <t>Программно-аппаратный комплекс многофункционального комплекса сетевой защиты «Diamond VPN/FW» - 8101.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 
В составе:  Аппаратный модуль "Diamond VPN/FW" - 8101, Лицензия на право использования программного обеспечения многофункционального комплекса сетевой защиты «Diamond VPN/FW» - 8101. Версия VPN</t>
  </si>
  <si>
    <t xml:space="preserve">Многофункциональный комплекс сетевой защиты «Diamond VPN/FW» - 2111. Версия UTM в составе: </t>
  </si>
  <si>
    <t>Многофункциональный комплекс сетевой защиты «Diamond VPN/FW» - 3101. Версия UTM в составе:</t>
  </si>
  <si>
    <t xml:space="preserve">Многофункциональный комплекс сетевой защиты «Diamond VPN/FW» - 4101. Версия UTM в составе: </t>
  </si>
  <si>
    <t>Многофункциональный комплекс сетевой защиты «Diamond VPN/FW» - 4105. Версия UTM в составе:</t>
  </si>
  <si>
    <t>Многофункциональный комплекс сетевой защиты «Diamond VPN/FW» -  5101. Версия UTM в составе:</t>
  </si>
  <si>
    <t>Многофункциональный комплекс сетевой защиты «Diamond VPN/FW» -  5111. Версия UTM в составе:</t>
  </si>
  <si>
    <t xml:space="preserve">Многофункциональный комплекс сетевой защиты «Diamond VPN/FW» -  5121. Версия UTM в составе: </t>
  </si>
  <si>
    <t xml:space="preserve">Многофункциональный комплекс сетевой защиты «Diamond VPN/FW» -  6101. Версия UTM в составе: </t>
  </si>
  <si>
    <t>Многофункциональный комплекс сетевой защиты «Diamond VPN/FW» -  7101. Версия UTM в составе:</t>
  </si>
  <si>
    <t>Многофункциональный комплекс сетевой защиты «Diamond VPN/FW» -  7141. Версия UTM в составе:</t>
  </si>
  <si>
    <t>Многофункциональный комплекс сетевой защиты «Diamond VPN/FW» -  7151. Версия UTM в составе:</t>
  </si>
  <si>
    <t xml:space="preserve">Многофункциональный комплекс сетевой защиты «Diamond VPN/FW» -  8101. Версия UTM в составе: </t>
  </si>
  <si>
    <t>Клиент многофункционального комплекса сетевой защиты «Diamond VPN/FW». Версия VPN осуществляет построение защищенного туннеля между рабочей станцией и VPN – сервером. Сертификация: ФСТЭК (4-й класс защиты, межсетевой экран типа «А», «Б» и «В», система обнаружения вторжения уровня сети).</t>
  </si>
  <si>
    <t xml:space="preserve">Многофункциональный комплекс сетевой защиты Diamond VPN/FW в промышленном исполнении для монтажа на DIN-рейку. 4 x RJ45 GbE.1 х USB 3.0, 1 x USB 2.0. Рабочая температура  -20°C…55°C. </t>
  </si>
  <si>
    <t>В составе:  Аппаратный модуль "Diamond VPN/FW" - 2111, Лицензия на право использования программного обеспечения многофункционального комплекса сетевой защиты «Diamond VPN/FW» - 2111. Версия UTM</t>
  </si>
  <si>
    <t>В составе:  Аппаратный модуль "Diamond VPN/FW" - 3101, Лицензия на право использования программного обеспечения многофункционального комплекса сетевой защиты «Diamond VPN/FW» - 3101. Версия UTM</t>
  </si>
  <si>
    <t>В составе:  Аппаратный модуль "Diamond VPN/FW" - 4101, Лицензия на право использования программного обеспечения многофункционального комплекса сетевой защиты «Diamond VPN/FW» - 4101. Версия UTM</t>
  </si>
  <si>
    <t>В составе:  Аппаратный модуль "Diamond VPN/FW" - 4105, Лицензия на право использования программного обеспечения многофункционального комплекса сетевой защиты «Diamond VPN/FW» - 4105. Версия UTM</t>
  </si>
  <si>
    <t>В составе:  Аппаратный модуль "Diamond VPN/FW" - 5101, Лицензия на право использования программного обеспечения многофункционального комплекса сетевой защиты «Diamond VPN/FW» - 5101. Версия UTM</t>
  </si>
  <si>
    <t>В составе:  Аппаратный модуль "Diamond VPN/FW" - 5111, Лицензия на право использования программного обеспечения многофункционального комплекса сетевой защиты «Diamond VPN/FW» - 5111. Версия UTM</t>
  </si>
  <si>
    <t>В составе:  Аппаратный модуль "Diamond VPN/FW" - 5121, Лицензия на право использования программного обеспечения многофункционального комплекса сетевой защиты «Diamond VPN/FW» - 5121. Версия UTM</t>
  </si>
  <si>
    <t>В составе:  Аппаратный модуль "Diamond VPN/FW" - 6101, Лицензия на право использования программного обеспечения многофункционального комплекса сетевой защиты «Diamond VPN/FW» - 6101. Версия UTM</t>
  </si>
  <si>
    <t>В составе:  Аппаратный модуль "Diamond VPN/FW" - 7101, Лицензия на право использования программного обеспечения многофункционального комплекса сетевой защиты «Diamond VPN/FW» - 7101. Версия UTM</t>
  </si>
  <si>
    <t>В составе:  Аппаратный модуль "Diamond VPN/FW" - 7141, Лицензия на право использования программного обеспечения многофункционального комплекса сетевой защиты «Diamond VPN/FW» - 7141. Версия UTM</t>
  </si>
  <si>
    <t>В составе:  Аппаратный модуль "Diamond VPN/FW" - 7151, Лицензия на право использования программного обеспечения многофункционального комплекса сетевой защиты «Diamond VPN/FW» - 7151. Версия UTM</t>
  </si>
  <si>
    <t>В составе:  Аппаратный модуль "Diamond VPN/FW" - 8101, Лицензия на право использования программного обеспечения многофункционального комплекса сетевой защиты «Diamond VPN/FW» - 8101. Версия UTM</t>
  </si>
  <si>
    <t>Лицензия на право использования программного обеспечения многофункционального комплекса сетевой защиты «Diamond VPN/FW» -  2111. Версия UTM</t>
  </si>
  <si>
    <t>Лицензия на право использования программного обеспечения многофункционального комплекса сетевой защиты «Diamond VPN/FW» -  3101. Версия UTM</t>
  </si>
  <si>
    <t>Лицензия на право использования программного обеспечения многофункционального комплекса сетевой защиты «Diamond VPN/FW» -  4101. Версия UTM</t>
  </si>
  <si>
    <t>Лицензия на право использования программного обеспечения многофункционального комплекса сетевой защиты «Diamond VPN/FW» -  4105. Версия UTM</t>
  </si>
  <si>
    <t>Лицензия на право использования программного обеспечения многофункционального комплекса сетевой защиты «Diamond VPN/FW» -  5101. Версия UTM</t>
  </si>
  <si>
    <t>Лицензия на право использования программного обеспечения многофункционального комплекса сетевой защиты «Diamond VPN/FW» -  5111. Версия UTM</t>
  </si>
  <si>
    <t>Лицензия на право использования программного обеспечения многофункционального комплекса сетевой защиты «Diamond VPN/FW» -  5121. Версия UTM</t>
  </si>
  <si>
    <t>Лицензия на право использования программного обеспечения многофункционального комплекса сетевой защиты «Diamond VPN/FW» -  7101. Версия UTM</t>
  </si>
  <si>
    <t>Лицензия на право использования программного обеспечения многофункционального комплекса сетевой защиты «Diamond VPN/FW» -  7141. Версия UTM</t>
  </si>
  <si>
    <t>Лицензия на право использования программного обеспечения многофункционального комплекса сетевой защиты «Diamond VPN/FW» -  7151. Версия UTM</t>
  </si>
  <si>
    <t>Лицензия на право использования программного обеспечения многофункционального комплекса сетевой защиты «Diamond VPN/FW» -  8101. Версия UTM</t>
  </si>
  <si>
    <t>Многофункциональный комплекс сетевой защиты «Diamond VPN/FW» - 1101. Версия UTM»</t>
  </si>
  <si>
    <t>Многофункциональный комплекс сетевой защиты «Diamond VPN/FW» - 2111. Версия UTM»</t>
  </si>
  <si>
    <t>Многофункциональный комплекс сетевой защиты «Diamond VPN/FW» - 3101. Версия UTM»</t>
  </si>
  <si>
    <t>Многофункциональный комплекс сетевой защиты «Diamond VPN/FW» - 4101. Версия UTM»</t>
  </si>
  <si>
    <t>Многофункциональный комплекс сетевой защиты «Diamond VPN/FW» - 4105. Версия UTM»</t>
  </si>
  <si>
    <t>Многофункциональный комплекс сетевой защиты «Diamond VPN/FW» - 5101. Версия UTM»</t>
  </si>
  <si>
    <t>Многофункциональный комплекс сетевой защиты «Diamond VPN/FW» - 5111. Версия UTM»</t>
  </si>
  <si>
    <t>Многофункциональный комплекс сетевой защиты «Diamond VPN/FW» - 5121. Версия UTM»</t>
  </si>
  <si>
    <t>Многофункциональный комплекс сетевой защиты «Diamond VPN/FW» - 6101. Версия UTM»</t>
  </si>
  <si>
    <t>Многофункциональный комплекс сетевой защиты «Diamond VPN/FW» - 7101. Версия UTM»</t>
  </si>
  <si>
    <t>Многофункциональный комплекс сетевой защиты «Diamond VPN/FW» - 7141. Версия UTM»</t>
  </si>
  <si>
    <t>Многофункциональный комплекс сетевой защиты «Diamond VPN/FW» - 7151. Версия UTM»</t>
  </si>
  <si>
    <t>Многофункциональный комплекс сетевой защиты «Diamond VPN/FW» - 8101. Версия UTM»</t>
  </si>
  <si>
    <t>4 x RJ45 GbE. 2 x USB 2.0. Настольное исполнение. Уголки для крепления в стойку продаются отдельно.</t>
  </si>
  <si>
    <t>8 x RJ45 GbE. Bypass. 2 x USB 3.0. Установка в стойку 1U. 2 блока питания. 2 места для модулей расширения</t>
  </si>
  <si>
    <t xml:space="preserve">ОБЯЗАТЕЛЬНА ДОКУПКА МОДУЛЕЙ РАСШИРЕНИЯ!
1 x RJ45 GbE. 2 x USB 3.0. Установка в стойку 1U. 2 блока питания. 4 места для модулей расширения. Bypass в зависимости от модуля расширения. </t>
  </si>
  <si>
    <t xml:space="preserve">Аппаратный модуль «Diamond VPN/FW» - 3101 </t>
  </si>
  <si>
    <t xml:space="preserve">Аппаратный модуль «Diamond VPN/FW» - 4101 </t>
  </si>
  <si>
    <t xml:space="preserve">Аппаратный модуль «Diamond VPN/FW» - 5101 </t>
  </si>
  <si>
    <t xml:space="preserve">Аппаратный модуль «Diamond VPN/FW» - 5121 </t>
  </si>
  <si>
    <t xml:space="preserve">Аппаратный модуль «Diamond VPN/FW» - 6101 </t>
  </si>
  <si>
    <t>Стандартная техническая поддержка на 3 года включает в себя: 
- все возможности пакета гарантийного
обслуживания «Базовый»;
- гарантийное обслуживание уровня "Базовый";
- консультации по вопросам внедрения и работы с системой защиты информации;
- доступ к базе знаний и документации по продукту;
- консультации по телефону в рабочее время без ограничений;
- бесплатные обновления всей линейки продуктов.</t>
  </si>
  <si>
    <t>Стандартная техническая поддержка на 5 лет включает в себя: 
- пакет гарантийного обслуживания уровня "Базовый"
- консультации по вопросам внедрения и работы с системой защиты информации;
- доступ к базе знаний и документации по продукту;
- консультации по телефону в рабочее время без ограничений;
- бесплатные обновления всей линейки продуктов.</t>
  </si>
  <si>
    <t>Многофункциональный комплекс сетевой защиты «m-TrusT-Diamond VPN/FW» - 0501. Версия VPN в составе:</t>
  </si>
  <si>
    <t>Аппаратный модуль микрокомпьютера m-TrusT</t>
  </si>
  <si>
    <t>Лицензия на право использования Микрокомпьютера m-TrusT</t>
  </si>
  <si>
    <t>BB-1-063</t>
  </si>
  <si>
    <t>Лицензия на право использования консоли администрирования «Diamond ACS Management» на 3 года</t>
  </si>
  <si>
    <t>Расширенная техническая поддержка на 3 года включает в себя: 
- пакет гарантийного обслуживания уровня "Базовый плюс";
- все возможности базового уровня;
- помощь в настройке дополнительного функционала продукта;
- до 50 часов работы технических специалистов на объектах заказчика в регионах присутствия технических центров.</t>
  </si>
  <si>
    <t>Операционная система Windows (Vista, Windows 7, Windows 8.x, Windows 10). Одна консоль администрирования включена</t>
  </si>
  <si>
    <t>Лицензия на право использования системы контроля и разграничения доступа «Diamond ACS» на автономной рабочей станции. За 1 клиента на 1 год</t>
  </si>
  <si>
    <t>Лицензия на право использования системы контроля и разграничения доступа «Diamond ACS» на автономной рабочей станции. За 1 клиента на 3 года</t>
  </si>
  <si>
    <t>Лицензия на право использования системы контроля и разграничения доступа «Diamond ACS» на автономной рабочей станции. За 1 клиента бессрочно</t>
  </si>
  <si>
    <t>Лицензия на право использования системы контроля и разграничения доступа «Diamond ACS» на автономном сервере. За 1 клиента на 1 год</t>
  </si>
  <si>
    <t>Лицензия на право использования системы контроля и разграничения доступа «Diamond ACS» на автономном сервере. За 1 клиента на 3 года</t>
  </si>
  <si>
    <t>Лицензия на право использования системы контроля и разграничения доступа «Diamond ACS» на автономном сервере. За 1 клиента бессрочно</t>
  </si>
  <si>
    <t xml:space="preserve">Программный комплекс управления безопасностью СКРД «Diamond ACS Security Management Server» </t>
  </si>
  <si>
    <t>Лицензия на право использования программного комплекса СКРД на сервере «Diamond ACS Agent Server». За 1 клиента на 1 год</t>
  </si>
  <si>
    <t>Лицензия на право использования программного комплекса СКРД на сервере «Diamond ACS Agent Server». За 1 клиента на 3 года</t>
  </si>
  <si>
    <t>Лицензия на право использования программного комплекса СКРД на сервере «Diamond ACS Agent Server». За 1 клиента бессрочно</t>
  </si>
  <si>
    <t>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49 рабочих станций/серверов) на 1 год</t>
  </si>
  <si>
    <t>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249 рабочих станций/серверов) на 1 год</t>
  </si>
  <si>
    <t>Лицензия на право использования программного комплекса управления безопасностью системы контроля и разграничения доступа «Diamond ACS Security Management Server»  (неограниченное кол-во рабочих станций/серверов) на 1 год</t>
  </si>
  <si>
    <t>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49 рабочих станций/серверов) на 3 года</t>
  </si>
  <si>
    <t>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249 рабочих станций/серверов) на 3 года</t>
  </si>
  <si>
    <t>Лицензия на право использования программного комплекса управления безопасностью системы контроля и разграничения доступа «Diamond ACS Security Management Server»  (неограниченное кол-во рабочих станций/серверов) на 3 года</t>
  </si>
  <si>
    <t>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49 рабочих станций/серверов). Бессрочно</t>
  </si>
  <si>
    <t>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249 рабочих станций/серверов). Бессрочно</t>
  </si>
  <si>
    <t>Лицензия на право использования программного комплекса управления безопасностью системы контроля и разграничения доступа «Diamond ACS Security Management Server»  (неограниченное кол-во рабочих станций/серверов). Бессрочно</t>
  </si>
  <si>
    <t xml:space="preserve">Лицензия на право использования программного комплекса системы контроля и разграничения доступа на сетевой рабочей станции«Diamond ACS Agent Windows Workstation Net». За 1 клиента на 1 год </t>
  </si>
  <si>
    <t xml:space="preserve">Лицензия на право использования программного комплекса системы контроля и разграничения доступа на сетевой рабочей станции «Diamond ACS Agent Windows Workstation Net». За 1 клиента на 3 года </t>
  </si>
  <si>
    <t>Лицензия на право использования программного комплекса системы контроля и разграничения доступа на сетевой рабочей станции «Diamond ACS Agent Windows Workstation Net» за 1 клиента бессрочно</t>
  </si>
  <si>
    <t>Программное обеспечение системы контроля и разграничения доступа «Diamond ACS» на автономном АРМ.</t>
  </si>
  <si>
    <t>Программное обеспечение системы контроля и разграничения доступа «Diamond ACS» в распределенной гетерогенной сети.</t>
  </si>
  <si>
    <t>Серверные операционные системы (2003, 2008, 2008R2,2012, 2012R2, 2016)</t>
  </si>
  <si>
    <t xml:space="preserve">Аппаратный модуль «Diamond VPN/FW» - 5201 </t>
  </si>
  <si>
    <t>Лицензия на право использования программного обеспечения многофункционального комплекса сетевой защиты «Diamond VPN/FW» -  5201. Версия UTM</t>
  </si>
  <si>
    <t xml:space="preserve">Программно-аппаратный комплекс многофункционального комплекса сетевой защиты «Diamond VPN/FW» -  5201. Версия UTM </t>
  </si>
  <si>
    <t>Аппаратный модуль «Diamond VPN/FW» - 5211</t>
  </si>
  <si>
    <t>Многофункциональный комплекс сетевой защиты «Diamond VPN/FW» -  5211. Версия UTM в составе:</t>
  </si>
  <si>
    <t>Многофункциональный комплекс сетевой защиты «Diamond VPN/FW» -  5201. Версия UTM в составе:</t>
  </si>
  <si>
    <t>Лицензия на право использования программного обеспечения многофункционального комплекса сетевой защиты «Diamond VPN/FW» -  5211. Версия UTM</t>
  </si>
  <si>
    <t xml:space="preserve">Программно-аппаратный комплекс многофункционального комплекса сетевой защиты «Diamond VPN/FW» -  5211. Версия UTM </t>
  </si>
  <si>
    <t xml:space="preserve">Многофункциональный комплекс сетевой защиты «Diamond VPN/FW» -  5221. Версия UTM в составе: </t>
  </si>
  <si>
    <t>В составе:  Аппаратный модуль "Diamond VPN/FW" - 5201, Лицензия на право использования программного обеспечения многофункционального комплекса сетевой защиты «Diamond VPN/FW» - 5201. Версия UTM</t>
  </si>
  <si>
    <t>В составе:  Аппаратный модуль "Diamond VPN/FW" - 5211, Лицензия на право использования программного обеспечения многофункционального комплекса сетевой защиты «Diamond VPN/FW» - 5211. Версия UTM</t>
  </si>
  <si>
    <t xml:space="preserve">Аппаратный модуль «Diamond VPN/FW» - 5221 </t>
  </si>
  <si>
    <t>Лицензия на право использования программного обеспечения многофункционального комплекса сетевой защиты «Diamond VPN/FW» -  5221. Версия UTM</t>
  </si>
  <si>
    <t xml:space="preserve">Программно-аппаратный комплекс многофункционального комплекса сетевой защиты «Diamond VPN/FW» -  5221. Версия UTM </t>
  </si>
  <si>
    <t>BF-2-093</t>
  </si>
  <si>
    <t>BF-2-094</t>
  </si>
  <si>
    <t>BF-2-095</t>
  </si>
  <si>
    <t>12 x RJ45 GbE. Bypass. 2 x USB 3.0. Установка в стойку 1U. 2 блока питания. 2 места для модулей расширения</t>
  </si>
  <si>
    <t>Многофункциональный комплекс сетевой защиты «Diamond VPN/FW» - 5201. Версия VPN в составе:</t>
  </si>
  <si>
    <t>Аппаратный модуль «Diamond VPN/FW» - 5201</t>
  </si>
  <si>
    <t>Лицензия на право использования программного обеспечения многофункционального комплекса сетевой защиты «Diamond VPN/FW» - 5201. Версия VPN</t>
  </si>
  <si>
    <t>Программное обеспечение многофункционального комплекса сетевой защиты «Diamond VPN/FW» - 5201.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</si>
  <si>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 xml:space="preserve">Программно-аппаратный комплекс многофункционального комплекса сетевой защиты «Diamond VPN/FW» - 5201. Версия VPN </t>
  </si>
  <si>
    <t>Программно-аппаратный комплекс многофункционального комплекса сетевой защиты «Diamond VPN/FW» - 5201.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
В составе:  Аппаратный модуль "Diamond VPN/FW" - 5201, Лицензия на право использования программного обеспечения многофункционального комплекса сетевой защиты «Diamond VPN/FW» - 5201. Версия VPN</t>
  </si>
  <si>
    <t>Многофункциональный комплекс сетевой защиты «Diamond VPN/FW»- 5211. Версия VPN в составе:</t>
  </si>
  <si>
    <t>Лицензия на право использования программного обеспечения многофункционального комплекса сетевой защиты «Diamond VPN/FW» - 5211. Версия VPN</t>
  </si>
  <si>
    <t>Программное обеспечение многофункционального комплекса сетевой защиты «Diamond VPN/FW» - 5211.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</si>
  <si>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 xml:space="preserve">Программно-аппаратный комплекс многофункционального комплекса сетевой защиты «Diamond VPN/FW» - 5211. Версия VPN </t>
  </si>
  <si>
    <t>Программно-аппаратный комплекс многофункционального комплекса сетевой защиты «Diamond VPN/FW» - 5211.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
В составе:  Аппаратный модуль "Diamond VPN/FW" - 5211, Лицензия на право использования программного обеспечения многофункционального комплекса сетевой защиты «Diamond VPN/FW» - 5211. Версия VPN</t>
  </si>
  <si>
    <t xml:space="preserve">Многофункциональный комплекс сетевой защиты «Diamond VPN/FW» - 5221. Версия VPN в составе: </t>
  </si>
  <si>
    <t>Аппаратный модуль «Diamond VPN/FW» - 5221</t>
  </si>
  <si>
    <t>Лицензия на право использования программного обеспечения многофункционального комплекса сетевой защиты «Diamond VPN/FW» - 5221. Версия VPN</t>
  </si>
  <si>
    <t>Программное обеспечение многофункционального комплекса сетевой защиты «Diamond VPN/FW» - 5221.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</si>
  <si>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 xml:space="preserve">Программно-аппаратный комплекс многофункционального комплекса сетевой защиты «Diamond VPN/FW» - 5221. Версия VPN </t>
  </si>
  <si>
    <t>Программно-аппаратный комплекс многофункционального комплекса сетевой защиты «Diamond VPN/FW» - 5221.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
В составе:  Аппаратный модуль "Diamond VPN/FW" - 5221, Лицензия на право использования программного обеспечения многофункционального комплекса сетевой защиты «Diamond VPN/FW» - 5221. Версия VPN</t>
  </si>
  <si>
    <t>18 000,00 ₽ при кол-ве &gt;100</t>
  </si>
  <si>
    <t>Программный комплекс системы контроля и разграничения доступа на сервере «Diamond ACS Agent Server»</t>
  </si>
  <si>
    <r>
      <t xml:space="preserve">Аппаратный модуль для системы контроля и разграничения доступа на рабочей станции в сети </t>
    </r>
    <r>
      <rPr>
        <b/>
        <sz val="10"/>
        <color theme="1"/>
        <rFont val="Tahoma"/>
        <family val="2"/>
        <charset val="204"/>
      </rPr>
      <t xml:space="preserve">«Diamond ACS HW» PCI </t>
    </r>
  </si>
  <si>
    <r>
      <t xml:space="preserve">Аппаратный модуль для системы контроля и разграничения доступа на рабочей станции в сети </t>
    </r>
    <r>
      <rPr>
        <b/>
        <sz val="10"/>
        <color theme="1"/>
        <rFont val="Tahoma"/>
        <family val="2"/>
        <charset val="204"/>
      </rPr>
      <t xml:space="preserve">«Diamond ACS HW» PCI-E </t>
    </r>
  </si>
  <si>
    <r>
      <t xml:space="preserve">Аппаратный модуль для системы контроля и разграничения доступа на рабочей станции в сети </t>
    </r>
    <r>
      <rPr>
        <b/>
        <sz val="10"/>
        <color theme="1"/>
        <rFont val="Tahoma"/>
        <family val="2"/>
        <charset val="204"/>
      </rPr>
      <t>«Diamond ACS HW» miniPCI-E</t>
    </r>
  </si>
  <si>
    <r>
      <t xml:space="preserve">Аппаратный модуль для системы контроля и разграничения доступа на рабочей станции в сети </t>
    </r>
    <r>
      <rPr>
        <b/>
        <sz val="10"/>
        <color theme="1"/>
        <rFont val="Tahoma"/>
        <family val="2"/>
        <charset val="204"/>
      </rPr>
      <t xml:space="preserve">«Diamond ACS HW Lt» PCI-E </t>
    </r>
  </si>
  <si>
    <t>Сертифицированный установочный комплект OEM. системы контроля и разграничения доступа «Diamond ACS» (автономный)</t>
  </si>
  <si>
    <t>Сертифицированный установочный комплект OEM. системы контроля и разграничения доступа «Diamond ACS»  (сетевой)</t>
  </si>
  <si>
    <t>Сертифицированный установочный комплект. системы контроля и разграничения доступа «Diamond ACS» (автономный)</t>
  </si>
  <si>
    <t>Сертифицированный установочный комплект. системы контроля и разграничения доступа «Diamond ACS»  (сетевой)</t>
  </si>
  <si>
    <t>Сертификат активации сервиса прямой технической поддержки уровня "Стандартный" на 1 год для многофункционального комплекса сетевой защиты «Diamond VPN/FW». Версия UTM</t>
  </si>
  <si>
    <t>Сертификат активации сервиса прямой технической поддержки уровня "Стандартный" на 3 года для многофункционального комплекса сетевой защиты «Diamond VPN/FW». Версия UTM</t>
  </si>
  <si>
    <t>Сертификат активации сервиса прямой технической поддержки уровня "Стандартный" на 5 лет для многофункционального комплекса сетевой защиты «Diamond VPN/FW». Версия UTM</t>
  </si>
  <si>
    <t>Сертификат активации сервиса прямой технической поддержки уровня "Расширенный" на 1 год для многофункционального комплекса сетевой защиты «Diamond VPN/FW». Версия UTM</t>
  </si>
  <si>
    <t>Сертификат активации сервиса прямой технической поддержки уровня "Расширенный" на 3 года для многофункционального комплекса сетевой защиты «Diamond VPN/FW». Версия UTM</t>
  </si>
  <si>
    <t>Сертификат активации сервиса прямой технической поддержки уровня "Расширенный" на 5 лет для многофункционального комплекса сетевой защиты «Diamond VPN/FW». Версия UTM</t>
  </si>
  <si>
    <t>Сертификат активации сервиса прямой технической поддержки уровня "Эксклюзивный" на 1 год для многофункционального комплекса сетевой защиты «Diamond VPN/FW». Версия UTM</t>
  </si>
  <si>
    <t>Сертификат активации сервиса прямой технической поддержки уровня "Эксклюзивный" на 3 года для многофункционального комплекса сетевой защиты «Diamond VPN/FW». Версия UTM</t>
  </si>
  <si>
    <t>Сертификат активации сервиса прямой технической поддержки уровня "Эксклюзивный" на 5 лет для многофункционального комплекса сетевой защиты «Diamond VPN/FW». Версия UTM</t>
  </si>
  <si>
    <t>Сертификат активации сервиса совместной технической поддержки уровня "Стандартный" на 1 год для многофункционального комплекса сетевой защиты «Diamond VPN/FW». Версия UTM</t>
  </si>
  <si>
    <t>Сертификат активации сервиса совместной технической поддержки уровня "Расширенный" на 1 год для многофункционального комплекса сетевой защиты «Diamond VPN/FW». Версия UTM</t>
  </si>
  <si>
    <t>Лицензия на право использования программного обеспечения многофункционального комплекса сетевой защиты «Diamond VPN/FW» -  6101. Версия UTM</t>
  </si>
  <si>
    <t>Передача прав на использование программного обеспечения исполнений средств криптографической защиты информации «Dcrypt 1.0 v.2» с назначением «КриптоАРМ» для работы на аппаратной платформе с архитектурой процессора Intel IA-32, EM64T</t>
  </si>
  <si>
    <t>Передача прав на использование программного обеспечения исполнений средств криптографической защиты информации «Dcrypt 1.0 v.2» с назначением «КриптоАРМ» для генерации ключей, устанавливаемых на средства криптографической защиты информации нижеперечисленных классов</t>
  </si>
  <si>
    <t>Передача прав на использование программного обеспечения исполнений средств криптографической защиты информации «Dcrypt 1.0 v.2» с назначением АП «VPN» для работы на аппаратной платформе с архитектурой процессора Intel IA-32, EM64T</t>
  </si>
  <si>
    <t>Передача прав на использование программного обеспечения исполнений средств криптографической защиты информации «Dcrypt 1.0 v.2» с назначением АП «VPN» для работы на аппаратной платформе с архитектурой процессора ARM</t>
  </si>
  <si>
    <t>Передача прав на использование программного обеспечения исполнений средств криптографической защиты информации «Dcrypt 1.0 v.2» с назначением «Криптобиблиотеки» для работы на аппаратной платформе с архитектурой процессора Intel IA-32, EM64T</t>
  </si>
  <si>
    <t>Передача прав на использование программного обеспечения исполнений средств криптографической защиты информации «Dcrypt 1.0 v.2» с назначением «Криптобиблиотеки» для работы на аппаратной платформе с архитектурой процессора ARM</t>
  </si>
  <si>
    <t>Сертификат активации сервиса прямой технической поддержки уровня "Стандартный" на 1 год для системы контроля и разграничения доступа «Diamond ACS»</t>
  </si>
  <si>
    <t>Сертификат активации сервиса прямой технической поддержки уровня "Стандартный" на 3 года для системы контроля и разграничения доступа «Diamond ACS»</t>
  </si>
  <si>
    <t>Сертификат активации сервиса прямой технической поддержки уровня "Стандартный" на 5 лет для системы контроля и разграничения доступа «Diamond ACS»</t>
  </si>
  <si>
    <t>Сертификат активации сервиса прямой технической поддержки уровня "Расширенный" на 1 год для системы контроля и разграничения доступа «Diamond ACS»</t>
  </si>
  <si>
    <t>Сертификат активации сервиса прямой технической поддержки уровня "Расширенный" на 3 года для системы контроля и разграничения доступа «Diamond ACS»</t>
  </si>
  <si>
    <t>Сертификат активации сервиса прямой технической поддержки уровня "Расширенный" на 5 лет для системы контроля и разграничения доступа «Diamond ACS»</t>
  </si>
  <si>
    <t>Сертификат активации сервиса прямой технической поддержки уровня "Эксклюзивный" на 1 год для системы контроля и разграничения доступа «Diamond ACS»</t>
  </si>
  <si>
    <t>Сертификат активации сервиса прямой технической поддержки уровня "Эксклюзивный" на 3 года для системы контроля и разграничения доступа «Diamond ACS»</t>
  </si>
  <si>
    <t>Сертификат активации сервиса прямой технической поддержки уровня "Эксклюзивный" на 5 лет для системы контроля и разграничения доступа «Diamond ACS»</t>
  </si>
  <si>
    <t>Сертификат активации сервиса совместной технической поддержки уровня "Стандартный" на 1 год для системы контроля и разграничения доступа «Diamond ACS»</t>
  </si>
  <si>
    <t>Сертификат активации сервиса совместной технической поддержки уровня "Расширенный" на 1 год для системы контроля и разграничения доступа «Diamond ACS»</t>
  </si>
  <si>
    <t>Сертификат активации сервиса прямой технической поддержки уровня "Стандартный" на 1 год для средства криптографической защиты информации «Dcrypt 1.0 v.2»</t>
  </si>
  <si>
    <t>Сертификат активации сервиса прямой технической поддержки уровня "Стандартный" на 3 года для средства криптографической защиты информации «Dcrypt 1.0 v.2»</t>
  </si>
  <si>
    <t>Сертификат активации сервиса прямой технической поддержки уровня "Стандартный" на 5 лет для средства криптографической защиты информации «Dcrypt 1.0 v.2»</t>
  </si>
  <si>
    <t>Сертификат активации сервиса прямой технической поддержки уровня "Расширенный" на 1 год для средства криптографической защиты информации «Dcrypt 1.0 v.2»</t>
  </si>
  <si>
    <t>Сертификат активации сервиса прямой технической поддержки уровня "Расширенный" на 3 года для средства криптографической защиты информации «Dcrypt 1.0 v.2»</t>
  </si>
  <si>
    <t>Сертификат активации сервиса прямой технической поддержки уровня "Расширенный" на 5 лет для средства криптографической защиты информации «Dcrypt 1.0 v.2»</t>
  </si>
  <si>
    <t>Сертификат активации сервиса прямой технической поддержки уровня "Эксклюзивный" на 1 год для средства криптографической защиты информации «Dcrypt 1.0 v.2»</t>
  </si>
  <si>
    <t>Сертификат активации сервиса прямой технической поддержки уровня "Эксклюзивный" на 3 года для средства криптографической защиты информации «Dcrypt 1.0 v.2»</t>
  </si>
  <si>
    <t>Сертификат активации сервиса прямой технической поддержки уровня "Эксклюзивный" на 5 лет для средства криптографической защиты информации «Dcrypt 1.0 v.2»</t>
  </si>
  <si>
    <t>Сертификат активации сервиса совместной технической поддержки уровня "Стандартный" на 1 год для средства криптографической защиты информации «Dcrypt 1.0 v.2»</t>
  </si>
  <si>
    <t>Сертификат активации сервиса совместной технической поддержки уровня "Расширенный" на 1 год для средства криптографической защиты информации «Dcrypt 1.0 v.2»</t>
  </si>
  <si>
    <t>Сертификат активации сервиса прямой технической поддержки уровня "Стандартный" на 1 год для модуля расширения многофункционального комплекса сетевой защиты «Diamond VPN/FW»</t>
  </si>
  <si>
    <t>Сертификат активации сервиса прямой технической поддержки уровня "Стандартный" на 3 года для модуля расширения многофункционального комплекса сетевой защиты «Diamond VPN/FW»</t>
  </si>
  <si>
    <t>Сертификат активации сервиса прямой технической поддержки уровня "Стандартный" на 5 лет для модуля расширения многофункционального комплекса сетевой защиты «Diamond VPN/FW»</t>
  </si>
  <si>
    <t>Сертификат активации сервиса прямой технической поддержки уровня "Расширенный" на 1 год для модуля расширения многофункционального комплекса сетевой защиты «Diamond VPN/FW»</t>
  </si>
  <si>
    <t>Сертификат активации сервиса прямой технической поддержки уровня "Расширенный" на 3 года для модуля расширения многофункционального комплекса сетевой защиты «Diamond VPN/FW»</t>
  </si>
  <si>
    <t>Сертификат активации сервиса прямой технической поддержки уровня "Расширенный" на 5 лет для модуля расширения многофункционального комплекса сетевой защиты «Diamond VPN/FW»</t>
  </si>
  <si>
    <t>Сертификат активации сервиса прямой технической поддержки уровня "Эксклюзивный" на 1 год для модуля расширения многофункционального комплекса сетевой защиты «Diamond VPN/FW»</t>
  </si>
  <si>
    <t>Сертификат активации сервиса прямой технической поддержки уровня "Эксклюзивный" на 3 года для модуля расширения многофункционального комплекса сетевой защиты «Diamond VPN/FW»</t>
  </si>
  <si>
    <t>Сертификат активации сервиса прямой технической поддержки уровня "Эксклюзивный" на 5 лет для модуля расширения многофункционального комплекса сетевой защиты «Diamond VPN/FW»</t>
  </si>
  <si>
    <t>Сертификат активации сервиса совместной технической поддержки уровня "Стандартный" на 1 год для модуля расширения многофункционального комплекса сетевой защиты «Diamond VPN/FW»</t>
  </si>
  <si>
    <t>Сертификат активации сервиса совместной технической поддержки уровня "Расширенный" на 1 год для модуля расширения многофункционального комплекса сетевой защиты «Diamond VPN/FW»</t>
  </si>
  <si>
    <t>Сертификат активации сервиса прямой технической поддержки уровня "Стандартный" на 1 год для многофункционального комплекса сетевой защиты «Diamond VPN/FW». Версия VPN</t>
  </si>
  <si>
    <t>Сертификат активации сервиса прямой технической поддержки уровня "Стандартный" на 3 года для многофункционального комплекса сетевой защиты «Diamond VPN/FW». Версия VPN</t>
  </si>
  <si>
    <t>Сертификат активации сервиса прямой технической поддержки уровня "Стандартный" на 5 лет для многофункционального комплекса сетевой защиты «Diamond VPN/FW». Версия VPN</t>
  </si>
  <si>
    <t>Сертификат активации сервиса прямой технической поддержки уровня "Расширенный" на 1 год для многофункционального комплекса сетевой защиты «Diamond VPN/FW». Версия VPN</t>
  </si>
  <si>
    <t>Сертификат активации сервиса прямой технической поддержки уровня "Расширенный" на 3 года для многофункционального комплекса сетевой защиты «Diamond VPN/FW». Версия VPN</t>
  </si>
  <si>
    <t>Сертификат активации сервиса прямой технической поддержки уровня "Расширенный" на 5 лет для многофункционального комплекса сетевой защиты «Diamond VPN/FW». Версия VPN</t>
  </si>
  <si>
    <t>Сертификат активации сервиса прямой технической поддержки уровня "Эксклюзивный" на 1 год для многофункционального комплекса сетевой защиты «Diamond VPN/FW». Версия VPN</t>
  </si>
  <si>
    <t>Сертификат активации сервиса прямой технической поддержки уровня "Эксклюзивный" на 3 года для многофункционального комплекса сетевой защиты «Diamond VPN/FW». Версия VPN</t>
  </si>
  <si>
    <t>Сертификат активации сервиса прямой технической поддержки уровня "Эксклюзивный" на 5 лет для многофункционального комплекса сетевой защиты «Diamond VPN/FW». Версия VPN</t>
  </si>
  <si>
    <t>Сертификат активации сервиса совместной технической поддержки уровня "Стандартный" на 1 год для многофункционального комплекса сетевой защиты «Diamond VPN/FW». Версия VPN</t>
  </si>
  <si>
    <t>Сертификат активации сервиса совместной технической поддержки уровня "Расширенный" на 1 год для многофункционального комплекса сетевой защиты «Diamond VPN/FW». Версия VPN</t>
  </si>
  <si>
    <t>Сертификат активации сервиса прямой технической поддержки уровня "Стандартный" на 1 год для многофункционального комплекса сетевой защиты «Diamond VPN/FW». Версия FW уровня сети, уровня логических границ сети»</t>
  </si>
  <si>
    <t>Сертификат активации сервиса прямой технической поддержки уровня "Стандартный" на 3 года для многофункционального комплекса сетевой защиты «Diamond VPN/FW». Версия FW уровня сети, уровня логических границ сети»</t>
  </si>
  <si>
    <t>Сертификат активации сервиса прямой технической поддержки уровня "Стандартный" на 5 лет для многофункционального комплекса сетевой защиты «Diamond VPN/FW». Версия FW уровня сети, уровня логических границ сети»</t>
  </si>
  <si>
    <t>Сертификат активации сервиса прямой технической поддержки уровня "Расширенный" на 1 год для многофункционального комплекса сетевой защиты «Diamond VPN/FW». Версия FW уровня сети, уровня логических границ сети»</t>
  </si>
  <si>
    <t>Сертификат активации сервиса прямой технической поддержки уровня "Расширенный" на 3 года для многофункционального комплекса сетевой защиты «Diamond VPN/FW». Версия FW уровня сети, уровня логических границ сети»</t>
  </si>
  <si>
    <t>Сертификат активации сервиса прямой технической поддержки уровня "Расширенный" на 5 лет для многофункционального комплекса сетевой защиты «Diamond VPN/FW». Версия FW уровня сети, уровня логических границ сети»</t>
  </si>
  <si>
    <t>Сертификат активации сервиса прямой технической поддержки уровня "Эксклюзивный" на 1 год для многофункционального комплекса сетевой защиты «Diamond VPN/FW». Версия FW уровня сети, уровня логических границ сети»</t>
  </si>
  <si>
    <t>Сертификат активации сервиса прямой технической поддержки уровня "Эксклюзивный" на 3 года для многофункционального комплекса сетевой защиты «Diamond VPN/FW». Версия FW уровня сети, уровня логических границ сети»</t>
  </si>
  <si>
    <t>Сертификат активации сервиса прямой технической поддержки уровня "Эксклюзивный" на 5 лет для многофункционального комплекса сетевой защиты «Diamond VPN/FW». Версия FW уровня сети, уровня логических границ сети»</t>
  </si>
  <si>
    <t>Сертификат активации сервиса совместной технической поддержки уровня "Стандартный" на 1 год для многофункционального комплекса сетевой защиты «Diamond VPN/FW». Версия FW уровня сети, уровня логических границ сети»</t>
  </si>
  <si>
    <t>Сертификат активации сервиса совместной технической поддержки уровня "Расширенный" на 1 год для многофункционального комплекса сетевой защиты «Diamond VPN/FW». Версия FW уровня сети, уровня логических границ сети»</t>
  </si>
  <si>
    <t>Сертификат активации сервиса прямой технической поддержки уровня "Стандартный" на 1 год для многофункционального комплекса сетевой защиты «Diamond VPN/FW». Версия IDS</t>
  </si>
  <si>
    <t>Сертификат активации сервиса прямой технической поддержки уровня "Стандартный" на 3 года для многофункционального комплекса сетевой защиты «Diamond VPN/FW». Версия IDS</t>
  </si>
  <si>
    <t>Сертификат активации сервиса прямой технической поддержки уровня "Стандартный" на 5 лет для многофункционального комплекса сетевой защиты «Diamond VPN/FW». Версия IDS</t>
  </si>
  <si>
    <t>Сертификат активации сервиса прямой технической поддержки уровня "Расширенный" на 1 год для многофункционального комплекса сетевой защиты «Diamond VPN/FW». Версия IDS</t>
  </si>
  <si>
    <t>Сертификат активации сервиса прямой технической поддержки уровня "Расширенный" на 3 года для многофункционального комплекса сетевой защиты «Diamond VPN/FW». Версия IDS</t>
  </si>
  <si>
    <t>Сертификат активации сервиса прямой технической поддержки уровня "Расширенный" на 5 лет для многофункционального комплекса сетевой защиты «Diamond VPN/FW». Версия IDS</t>
  </si>
  <si>
    <t>Сертификат активации сервиса прямой технической поддержки уровня "Эксклюзивный" на 1 год для многофункционального комплекса сетевой защиты «Diamond VPN/FW». Версия IDS</t>
  </si>
  <si>
    <t>Сертификат активации сервиса прямой технической поддержки уровня "Эксклюзивный" на 3 года для многофункционального комплекса сетевой защиты «Diamond VPN/FW». Версия IDS</t>
  </si>
  <si>
    <t>Сертификат активации сервиса прямой технической поддержки уровня "Эксклюзивный" на 5 лет для многофункционального комплекса сетевой защиты «Diamond VPN/FW». Версия IDS</t>
  </si>
  <si>
    <t>Сертификат активации сервиса совместной технической поддержки уровня "Стандартный" на 1 год для многофункционального комплекса сетевой защиты «Diamond VPN/FW». Версия IDS</t>
  </si>
  <si>
    <t>Сертификат активации сервиса совместной технической поддержки уровня "Расширенный" на 1 год для многофункционального комплекса сетевой защиты «Diamond VPN/FW». Версия IDS</t>
  </si>
  <si>
    <t>Многофункциональный комплекс сетевой защиты «Diamond VPN/FW» - 5201. Версия UTM»</t>
  </si>
  <si>
    <t>Многофункциональный комплекс сетевой защиты «Diamond VPN/FW» - 5211. Версия UTM»</t>
  </si>
  <si>
    <t>Многофункциональный комплекс сетевой защиты «Diamond VPN/FW» - 5221. Версия UTM»</t>
  </si>
  <si>
    <t>Многофункциональный комплекс сетевой защиты «Diamond VPN/FW» - 5201. Версия VPN»</t>
  </si>
  <si>
    <t>Многофункциональный комплекс сетевой защиты «Diamond VPN/FW» - 5211. Версия VPN»</t>
  </si>
  <si>
    <t>Многофункциональный комплекс сетевой защиты «Diamond VPN/FW» - 5221. Версия VPN»</t>
  </si>
  <si>
    <t xml:space="preserve">Многофункциональный комплекс сетевой защиты «TOPAZ IEC DAS MX 240 E2R4-Diamond VPN/FW» - 0502. Версия VPN в составе: </t>
  </si>
  <si>
    <t xml:space="preserve">Многофункциональный комплекс сетевой защиты «Diamond VPN/FW» - 1101. Версия VPN в составе: </t>
  </si>
  <si>
    <t>17.1</t>
  </si>
  <si>
    <t>17.2</t>
  </si>
  <si>
    <t>17.3</t>
  </si>
  <si>
    <t>17.4</t>
  </si>
  <si>
    <t>17.5</t>
  </si>
  <si>
    <t>18.1</t>
  </si>
  <si>
    <t>18.2</t>
  </si>
  <si>
    <t>18.3</t>
  </si>
  <si>
    <t>18.4</t>
  </si>
  <si>
    <t>18.5</t>
  </si>
  <si>
    <t>19.1</t>
  </si>
  <si>
    <t>19.2</t>
  </si>
  <si>
    <t>19.3</t>
  </si>
  <si>
    <t>19.4</t>
  </si>
  <si>
    <t>19.5</t>
  </si>
  <si>
    <t>• Цены носят справочный характер. Для получения точной цены необходимо связаться с отделом продаж ООО "ТСС".
• Стоимость продления ТП действительна при наличии технической поддержки за предыдущий год. При несоблюдении данного условия, для расчета стоимости необходимо обратиться в отдел продаж.</t>
  </si>
  <si>
    <t>• Обязательная докупка лицензий на ПК обновления сигнатур.
• Обязательная докупка СКЗИ «Dcrypt».
• Цены носят справочный характер. Для получения точной цены необходимо связаться с отделом продаж ООО "ТСС".
• Стоимость продления ТП действительна при наличии технической поддержки за предыдущий год. При несоблюдении данного условия, для расчета стоимости необходимо обратиться в отдел продаж.</t>
  </si>
  <si>
    <t>• Обязательная докупка СКЗИ «Dcrypt».
• Цены носят справочный характер. Для получения точной цены необходимо связаться с отделом продаж ООО "ТСС".
• Стоимость продления ТП действительна при наличии технической поддержки за предыдущий год. При несоблюдении данного условия, для расчета стоимости необходимо обратиться в отдел продаж.</t>
  </si>
  <si>
    <t>• Обязательная докупка лицензий на ПК обновления сигнатур.
• Цены носят справочный характер. Для получения точной цены необходимо связаться с отделом продаж ООО "ТСС".
• Стоимость продления ТП действительна при наличии технической поддержки за предыдущий год. При несоблюдении данного условия, для расчета стоимости необходимо обратиться в отдел продаж.</t>
  </si>
  <si>
    <t>• Цены носят справочный характер. Для получения точной цены необходимо связаться с отделом продаж ООО "ТСС".
• Стоимость продления ТП действительна при наличии технической поддержки за предыдущий год. При несоблюдении данного условия, для расчета стоимости необходимо обратиться в отдел продаж.
• Включение криптоАРМа в состав коммерческого предложение необходимо для обеспечения возможности генерации ключей.</t>
  </si>
  <si>
    <t>Централизованное управление правилами фильтрации, централизованный сбор и хранение системных логов и логов фильтрации сетевого трафика. Создание аналитики и отчетности. 8 x RJ45 GbE. Bypass. 2 x USB 3.0. SSD 1Тб. Установка в стойку 1U. Два блока питания. 2 места для модулей расширения</t>
  </si>
  <si>
    <t xml:space="preserve">Централизованный сбор и хранение системных логов и логов системы обнаружения вторжения. Создание аналитики и отчетности. 8 x RJ45 GbE. Bypass. 2 x USB 3.0. SSD 1Тб. Установка в стойку 1U. Два блока питания. 2 места для модулей расширения. </t>
  </si>
  <si>
    <t>Аппаратный модуль «Diamond NCC» - 5215</t>
  </si>
  <si>
    <t>Лицензия на право использования программного обеспечения многофункционального комплекса сетевой защиты «Diamond VPN/FW» - 5215. Версия NCC</t>
  </si>
  <si>
    <t>В составе: Аппаратный модуль «Diamond NCC» - 5215, Лицензия на право использования программного обеспечения многофункционального комплекса сетевой защиты "Diamond VPN/FW" - 5215. Версия NCC</t>
  </si>
  <si>
    <t>Лицензия на право использования программного обеспечения многофункционального комплекса сетевой защиты «Diamond VPN/FW» - 5215. Версия NCC (VPN)</t>
  </si>
  <si>
    <t>В составе: Аппаратный модуль «Diamond NCC» - 5215, Лицензия на право использования программного обеспечения многофункционального комплекса сетевой защиты «Diamond VPN/FW» - 5215. Версия NCC (VPN)</t>
  </si>
  <si>
    <t>Централизованный сбор и хранение системных логов и логов системы шифрования. Создание аналитики и отчетности. 8 x RJ45 GbE. Bypass. 2 x USB 3.0. SSD 1Тб. Установка в стойку 1U. Два блока питания. 2 места для модулей расширения.</t>
  </si>
  <si>
    <t>Централизованное управление правилами фильтрации. Централизованный сбор и хранение: системных логов, логов системы шифрования, логов системы обнаружения вторжения, логов фильтрации сетевого трафика. Создание аналитики и отчетности. 12 x RJ45 GbE. Bypass. 2 x USB 3.0. SSD 1Тб. Установка в стойку 1U. Два блока питания. 2 места для модулей расширения.</t>
  </si>
  <si>
    <t>Централизованное управление правилами фильтрации. Централизованный сбор и хранение: системных логов, логов системы шифрования, логов системы обнаружения вторжения, логов фильтрации сетевого трафика. Создание аналитики и отчетности. 8 x RJ45 GbE. Bypass. 2 x USB 3.0. SSD 1Тб. Установка в стойку 1U. Два блока питания. 2 места для модулей расширения.</t>
  </si>
  <si>
    <t>Централизованный сбор и хранение системных логов и логов системы шифрования. Создание аналитики и отчетности. 12 x RJ45 GbE. Bypass. 2 x USB 3.0. SSD 1Тб. Установка в стойку 1U. Два блока питания. 2 места для модулей расширения.</t>
  </si>
  <si>
    <t>Лицензия на право использования программного обеспечения многофункционального комплекса сетевой защиты «Diamond VPN/FW» - 5215. Версия NCC (FW)</t>
  </si>
  <si>
    <t>Централизованное управление правилами фильтрации, централизованный сбор и хранение системных логов и логов фильтрации сетевого трафика. Создание аналитики и отчетности. 12 x RJ45 GbE. Bypass. 2 x USB 3.0. SSD 1Тб. Установка в стойку 1U. Два блока питания. 2 места для модулей расширения</t>
  </si>
  <si>
    <t>В составе: Аппаратный модуль «Diamond NCC» - 5215, Лицензия на право использования программного обеспечения многофункционального комплекса сетевой защиты «Diamond VPN/FW» - 5215. Версия NCC (FW)</t>
  </si>
  <si>
    <t>Лицензия на право использования программного обеспечения многофункционального комплекса сетевой защиты «Diamond VPN/FW» - 5215. Версия NCC (IDS)</t>
  </si>
  <si>
    <t>В составе: Аппаратный модуль «Diamond NCC» - 5215, Лицензия на право использования программного обеспечения многофункционального комплекса сетевой защиты «Diamond VPN/FW» - 5215. Версия NCC (IDS)</t>
  </si>
  <si>
    <t xml:space="preserve">Централизованный сбор и хранение системных логов и логов системы обнаружения вторжения. Создание аналитики и отчетности. 12 x RJ45 GbE. Bypass. 2 x USB 3.0. SSD 1Тб. Установка в стойку 1U. Два блока питания. 2 места для модулей расширения. </t>
  </si>
  <si>
    <t>17</t>
  </si>
  <si>
    <t>18</t>
  </si>
  <si>
    <t>19</t>
  </si>
  <si>
    <t>20</t>
  </si>
  <si>
    <t xml:space="preserve">Многофункциональный комплекс сетевой защиты «Diamond VPN/FW» - 5201. Версия FW уровня сети, уровня логических границ сети в составе: </t>
  </si>
  <si>
    <t xml:space="preserve">Многофункциональный комплекс сетевой защиты «Diamond VPN/FW»- 5211. Версия FW уровня сети, уровня логических границ сети в составе: </t>
  </si>
  <si>
    <t xml:space="preserve">Многофункциональный комплекс сетевой защиты «Diamond VPN/FW» - 5221. Версия FW уровня сети, уровня логических границ сети в составе: </t>
  </si>
  <si>
    <t>Лицензия на право использования программного обеспечения многофункционального комплекса сетевой защиты «Diamond VPN/FW» - 5201. Версия FW уровня сети, уровня логических границ сети</t>
  </si>
  <si>
    <t>Лицензия на право использования программного обеспечения многофункционального комплекса сетевой защиты «Diamond VPN/FW» - 5211. Версия FW уровня сети, уровня логических границ сети</t>
  </si>
  <si>
    <t>Лицензия на право использования программного обеспечения многофункционального комплекса сетевой защиты «Diamond VPN/FW» - 5221. Версия FW уровня сети, уровня логических границ сети</t>
  </si>
  <si>
    <t>Программно-аппаратный комплекс многофункционального комплекса сетевой защиты «Diamond VPN/FW» - 5201. Версия FW уровня сети, уровня логических границ сети</t>
  </si>
  <si>
    <t>Программно-аппаратный комплекс многофункционального комплекса сетевой защиты «Diamond VPN/FW» - 5211. Версия FW уровня сети, уровня логических границ сети</t>
  </si>
  <si>
    <t>Программно-аппаратный комплекс многофункционального комплекса сетевой защиты «Diamond VPN/FW» - 5221. Версия FW уровня сети, уровня логических границ сети</t>
  </si>
  <si>
    <t xml:space="preserve">Многофункциональный комплекс сетевой защиты «Diamond VPN/FW» - 1101. Версия FW уровня сети, уровня логических границ сети в составе : </t>
  </si>
  <si>
    <t>Многофункциональный комплекс сетевой защиты «Diamond VPN/FW» - 2111. Версия FW уровня сети, уровня логических границ сети в составе:</t>
  </si>
  <si>
    <t>Многофункциональный комплекс сетевой защиты «Diamond VPN/FW» - 3101. Версия FW уровня сети, уровня логических границ сети в составе:</t>
  </si>
  <si>
    <t xml:space="preserve">Многофункциональный комплекс сетевой защиты «Diamond VPN/FW» - 4101. Версия FW уровня сети, уровня логических границ сети в составе: </t>
  </si>
  <si>
    <t>Многофункциональный комплекс сетевой защиты «Diamond VPN/FW» - 4105. Версия FW уровня сети, уровня логических границ сети в составе:</t>
  </si>
  <si>
    <t>Многофункциональный комплекс сетевой защиты «Diamond VPN/FW» -  5101. Версия FW уровня сети, уровня логических границ сети в составе:</t>
  </si>
  <si>
    <t>Многофункциональный комплекс сетевой защиты «Diamond VPN/FW» -  5111. Версия FW уровня сети, уровня логических границ сети в составе:</t>
  </si>
  <si>
    <t xml:space="preserve">Многофункциональный комплекс сетевой защиты «Diamond VPN/FW» -  5121. Версия FW уровня сети, уровня логических границ сети в составе: </t>
  </si>
  <si>
    <t xml:space="preserve">Многофункциональный комплекс сетевой защиты «Diamond VPN/FW» -  6101. Версия FW уровня сети, уровня логических границ сети в составе: </t>
  </si>
  <si>
    <t>Многофункциональный комплекс сетевой защиты «Diamond VPN/FW» -  7101. Версия FW уровня сети, уровня логических границ сети в составе:</t>
  </si>
  <si>
    <t>Многофункциональный комплекс сетевой защиты «Diamond VPN/FW» -  7141. Версия FW уровня сети, уровня логических границ сети в составе:</t>
  </si>
  <si>
    <t>Многофункциональный комплекс сетевой защиты «Diamond VPN/FW» -  7151. Версия FW уровня сети, уровня логических границ сети в составе:</t>
  </si>
  <si>
    <t xml:space="preserve">Многофункциональный комплекс сетевой защиты «Diamond VPN/FW» -  8101. Версия FW уровня сети, уровня логических границ сети в составе: </t>
  </si>
  <si>
    <t>Многофункциональный комплекс сетевой защиты «Diamond VPN/FW» - 5201. Версия FW уровня сети, уровня логических границ сети»</t>
  </si>
  <si>
    <t>Многофункциональный комплекс сетевой защиты «Diamond VPN/FW» - 5211. Версия FW уровня сети, уровня логических границ сети»</t>
  </si>
  <si>
    <t>Многофункциональный комплекс сетевой защиты «Diamond VPN/FW» - 5221. Версия FW уровня сети, уровня логических границ сети»</t>
  </si>
  <si>
    <t>Сертификация: ФСТЭК (4-й класс защиты, межсетевой экран типа «А», «Б»). 
В составе:  Аппаратный модуль "Diamond VPN/FW" - 1101, Лицензия на право использования программного обеспечения многофункционального комплекса сетевой защиты "Diamond VPN/FW" - 1101. Версия FW уровня сети, уровня логических границ сети</t>
  </si>
  <si>
    <t>Сертификация: ФСТЭК (4-й класс защиты, межсетевой экран типа «А», «Б»). 
Стоимость  программного обеспечения многофункционального комплекса сетевой защиты  «Diamond VPN/FW» - 1101. Версия FW уровня сети, уровня логических границ сети включает в себя стоимость программного обеспечения многофункционального комплекса сетевой защиты «Diamond VPN/FW». Версия VPN</t>
  </si>
  <si>
    <t>Сертификация: ФСТЭК (4-й класс защиты, межсетевой экран типа «А», «Б»).
В составе:  Аппаратный модуль "Diamond VPN/FW" - 3101,  Лицензия на право использования программного обеспечения программного обеспечения многофункционального комплекса сетевой защиты "Diamond VPN/FW" - 3101. Версия FW уровня сети, уровня логических границ сети</t>
  </si>
  <si>
    <t>Сертификация: ФСТЭК (4-й класс защиты, межсетевой экран типа «А», «Б»).  
Стоимость  программного обеспечения многофункционального комплекса сетевой защиты «Diamond VPN/FW» - 3101. Версия FW уровня сети, уровня логических границ сети включает в себя стоимость  программного обеспечения многофункционального комплекса сетевой защиты «Diamond VPN/FW». Версия VPN</t>
  </si>
  <si>
    <t>Сертификация: ФСТЭК (4-й класс защиты, межсетевой экран типа «А», «Б»).
Стоимость  программного обеспечения многофункционального комплекса сетевой защиты  «Diamond VPN/FW» - 4101. Версия FW уровня сети, уровня логических границ сети включает в себя стоимость  программного обеспечения многофункционального комплекса сетевой защиты «Diamond VPN/FW». Версия VPN</t>
  </si>
  <si>
    <t>Сертификация: ФСТЭК (4-й класс защиты, межсетевой экран типа «А», «Б»).  
В составе:  Аппаратный модуль "Diamond VPN/FW" - 4101,  Лицензия на право использования программного обеспечения программного обеспечения многофункционального комплекса сетевой защиты "Diamond VPN/FW" - 4101. Версия FW уровня сети, уровня логических границ сети</t>
  </si>
  <si>
    <t>Сертификация: ФСТЭК (4-й класс защиты, межсетевой экран типа «А», «Б»). 
Стоимость  программного обеспечения многофункционального комплекса сетевой защиты «Diamond VPN/FW» - 4105. Версия FW уровня сети, уровня логических границ сети включает в себя стоимость  программного обеспечения многофункционального комплекса сетевой защиты «Diamond VPN/FW». Версия VPN</t>
  </si>
  <si>
    <t>Сертификация: ФСТЭК (4-й класс защиты, межсетевой экран типа «А», «Б»). 
В составе:  Аппаратный модуль "Diamond VPN/FW" - 4105,  Лицензия на право использования программного обеспечения программного обеспечения многофункционального комплекса сетевой защиты "Diamond VPN/FW" - 4105. Версия FW уровня сети, уровня логических границ сети</t>
  </si>
  <si>
    <t>Сертификация: ФСТЭК (4-й класс защиты, межсетевой экран типа «А», «Б»). 
Стоимость  программного обеспечения многофункционального комплекса сетевой защиты  «Diamond VPN/FW» - 5101. Версия FW уровня сети, уровня логических границ сети включает в себя стоимость  программного обеспечения многофункционального комплекса сетевой защиты «Diamond VPN/FW». Версия VPN</t>
  </si>
  <si>
    <t>Сертификация: ФСТЭК (4-й класс защиты, межсетевой экран типа «А», «Б»). 
В составе:  Аппаратный модуль "Diamond VPN/FW" - 5101,  Лицензия на право использования программного обеспечения программного обеспечения многофункционального комплекса сетевой защиты "Diamond VPN/FW" - 5101. Версия FW уровня сети, уровня логических границ сети</t>
  </si>
  <si>
    <t>Сертификация: ФСТЭК (4-й класс защиты, межсетевой экран типа «А», «Б»). 
Стоимость  программного обеспечения многофункционального комплекса сетевой защиты «Diamond VPN/FW» - 5111. Версия FW уровня сети, уровня логических границ сети включает стоимость  программного обеспечения многофункционального комплекса сетевой защиты «Diamond VPN/FW». Версия VPN</t>
  </si>
  <si>
    <t>Сертификация: ФСТЭК (4-й класс защиты, межсетевой экран типа «А», «Б»). 
В составе:  Аппаратный модуль "Diamond VPN/FW" - 5111,  Лицензия на право использования программного обеспечения программного обеспечения многофункционального комплекса сетевой защиты "Diamond VPN/FW" - 5111. Версия FW уровня сети, уровня логических границ сети</t>
  </si>
  <si>
    <t>Сертификация: ФСТЭК (4-й класс защиты, межсетевой экран типа «А», «Б»). 
Стоимость  программного обеспечения многофункционального комплекса сетевой защиты«Diamond VPN/FW» - 5121. Версия FW уровня сети, уровня логических границ сети включает в себя стоимость  программного обеспечения многофункционального комплекса сетевой защиты «Diamond VPN/FW». Версия VPN</t>
  </si>
  <si>
    <t>Сертификация: ФСТЭК (4-й класс защиты, межсетевой экран типа «А», «Б»). 
В составе:  Аппаратный модуль "Diamond VPN/FW" - 5121,  Лицензия на право использования программного обеспечения программного обеспечения многофункционального комплекса сетевой защиты "Diamond VPN/FW" - 5121. Версия FW уровня сети, уровня логических границ сети</t>
  </si>
  <si>
    <t>Сертификация: ФСТЭК (4-й класс защиты, межсетевой экран типа «А», «Б»). 
Стоимость  программного обеспечения многофункционального комплекса сетевой защиты  «Diamond VPN/FW» - 5201. Версия FW уровня сети, уровня логических границ сети включает в себя стоимость  программного обеспечения многофункционального комплекса сетевой защиты «Diamond VPN/FW». Версия VPN</t>
  </si>
  <si>
    <t>Сертификация: ФСТЭК (4-й класс защиты, межсетевой экран типа «А», «Б»). 
Стоимость  программного обеспечения многофункционального комплекса сетевой защиты «Diamond VPN/FW» - 5211. Версия FW уровня сети, уровня логических границ сети включает стоимость  программного обеспечения многофункционального комплекса сетевой защиты «Diamond VPN/FW». Версия VPN</t>
  </si>
  <si>
    <t>Сертификация: ФСТЭК (4-й класс защиты, межсетевой экран типа «А», «Б»). 
Стоимость  программного обеспечения многофункционального комплекса сетевой защиты«Diamond VPN/FW» - 5221. Версия FW уровня сети, уровня логических границ сети включает в себя стоимость  программного обеспечения многофункционального комплекса сетевой защиты «Diamond VPN/FW». Версия VPN</t>
  </si>
  <si>
    <t>Сертификация: ФСТЭК (4-й класс защиты, межсетевой экран типа «А», «Б»). 
В составе:  Аппаратный модуль "Diamond VPN/FW" - 5221,  Лицензия на право использования программного обеспечения программного обеспечения многофункционального комплекса сетевой защиты "Diamond VPN/FW" - 5221. Версия FW уровня сети, уровня логических границ сети</t>
  </si>
  <si>
    <t>Сертификация: ФСТЭК (4-й класс защиты, межсетевой экран типа «А», «Б»). 
В составе:  Аппаратный модуль "Diamond VPN/FW" - 5211,  Лицензия на право использования программного обеспечения программного обеспечения многофункционального комплекса сетевой защиты "Diamond VPN/FW" - 5211. Версия FW уровня сети, уровня логических границ сети</t>
  </si>
  <si>
    <t>Сертификация: ФСТЭК (4-й класс защиты, межсетевой экран типа «А», «Б»). 
В составе:  Аппаратный модуль "Diamond VPN/FW" - 5201,  Лицензия на право использования программного обеспечения программного обеспечения многофункционального комплекса сетевой защиты "Diamond VPN/FW" - 5201. Версия FW уровня сети, уровня логических границ сети</t>
  </si>
  <si>
    <t>Сертификация: ФСТЭК (4-й класс защиты, межсетевой экран типа «А», «Б»). 
Стоимость  программного обеспечения многофункционального комплекса сетевой защиты «Diamond VPN/FW» - 7101. Версия FW уровня сети, уровня логических границ сети включает в себя стоимость  программного обеспечения многофункционального комплекса сетевой защиты «Diamond VPN/FW». Версия VPN</t>
  </si>
  <si>
    <t>Сертификация: ФСТЭК (4-й класс защиты, межсетевой экран типа «А», «Б»). 
В составе:  Аппаратный модуль "Diamond VPN/FW" - 7101,  Лицензия на право использования программного обеспечения программного обеспечения многофункционального комплекса сетевой защиты "Diamond VPN/FW" - 7101. Версия FW уровня сети, уровня логических границ сети</t>
  </si>
  <si>
    <t>Сертификация: ФСТЭК (4-й класс защиты, межсетевой экран типа «А», «Б»). 
Стоимость  программного обеспечения многофункционального комплекса сетевой защиты «Diamond VPN/FW» - 7141. Версия FW уровня сети, уровня логических границ сети включает в себя стоимость  программного обеспечения многофункционального комплекса сетевой защиты «Diamond VPN/FW». Версия VPN</t>
  </si>
  <si>
    <t>Сертификация: ФСТЭК (4-й класс защиты, межсетевой экран типа «А», «Б»). 
В составе:  Аппаратный модуль "Diamond VPN/FW" - 7141,  Лицензия на право использования программного обеспечения программного обеспечения многофункционального комплекса сетевой защиты "Diamond VPN/FW" - 7141. Версия FW уровня сети, уровня логических границ сети</t>
  </si>
  <si>
    <t>Сертификация: ФСТЭК (4-й класс защиты, межсетевой экран типа «А», «Б»). 
Стоимость  программного обеспечения многофункционального комплекса сетевой защиты«Diamond VPN/FW» -  7151. Версия FW уровня сети, уровня логических границ сети включает в себя стоимость программного обеспечения многофункционального комплекса сетевой защиты «Diamond VPN/FW». Версия VPN</t>
  </si>
  <si>
    <t>Сертификация: ФСТЭК (4-й класс защиты, межсетевой экран типа «А», «Б»). 
В составе:  Аппаратный модуль "Diamond VPN/FW" - 7151,  Лицензия на право использования программного обеспечения программного обеспечения многофункционального комплекса сетевой защиты "Diamond VPN/FW" - 7151. Версия FW уровня сети, уровня логических границ сети</t>
  </si>
  <si>
    <t>Сертификация: ФСТЭК (4-й класс защиты, межсетевой экран типа «А», «Б»). 
Стоимость  программного обеспечения многофункционального комплекса сетевой защиты«Diamond VPN/FW» - 8101. Версия FW уровня сети, уровня логических границ сети включает в себя стоимость  программного обеспечения многофункционального комплекса сетевой защиты «Diamond VPN/FW». Версия VPN</t>
  </si>
  <si>
    <t>Сертификация: ФСТЭК (4-й класс защиты, межсетевой экран типа «А», «Б»). 
В составе:  Аппаратный модуль "Diamond VPN/FW" - 8101,  Лицензия на право использования программного обеспечения программного обеспечения многофункционального комплекса сетевой защиты "Diamond VPN/FW" - 8101. Версия FW уровня сети, уровня логических границ сети</t>
  </si>
  <si>
    <t>Многофункциональный комплекс сетевой защиты «Diamond VPN/FW» - 5201. Версия IDS в составе:</t>
  </si>
  <si>
    <t>Лицензия на право использования программного обеспечения многофункционального комплекса сетевой защиты «Diamond VPN/FW» - 5201. Версия IDS</t>
  </si>
  <si>
    <t xml:space="preserve">Программно-аппаратный комплекс многофункционального комплекса сетевой защиты «Diamond VPN/FW» - 5201. Версия IDS </t>
  </si>
  <si>
    <t>Многофункциональный комплекс сетевой защиты «Diamond VPN/FW» - 5211. Версия IDS в составе:</t>
  </si>
  <si>
    <t>Лицензия на право использования программного обеспечения многофункционального комплекса сетевой защиты «Diamond VPN/FW» - 5211. Версия IDS</t>
  </si>
  <si>
    <t xml:space="preserve">Программно-аппаратный комплекс многофункционального комплекса сетевой защиты «Diamond VPN/FW» - 5211. Версия IDS </t>
  </si>
  <si>
    <t xml:space="preserve">Многофункциональный комплекс сетевой защиты «Diamond VPN/FW» - 5221. Версия IDS в составе: </t>
  </si>
  <si>
    <t>Лицензия на право использования программного обеспечения многофункционального комплекса сетевой защиты «Diamond VPN/FW» - 5221. Версия IDS</t>
  </si>
  <si>
    <t xml:space="preserve">Программно-аппаратный комплекс многофункционального комплекса сетевой защиты «Diamond VPN/FW» - 5221. Версия IDS </t>
  </si>
  <si>
    <t>Многофункциональный комплекс сетевой защиты «Diamond VPN/FW» - 5201. Версия IDS»</t>
  </si>
  <si>
    <t>Многофункциональный комплекс сетевой защиты «Diamond VPN/FW» - 5211. Версия IDS»</t>
  </si>
  <si>
    <t>Многофункциональный комплекс сетевой защиты «Diamond VPN/FW» - 5221. Версия IDS»</t>
  </si>
  <si>
    <t>В составе: Аппаратный модуль "Diamond VPN/FW" - 2111, Лицензия на право использования программного обеспечения многофункционального комплекса сетевой защиты "Diamond VPN/FW" - 2111. Версия IDS</t>
  </si>
  <si>
    <t>В составе: Аппаратный модуль "Diamond VPN/FW" - 3101, Лицензия на право использования программного обеспечения многофункционального комплекса сетевой защиты "Diamond VPN/FW" - 3101. Версия IDS</t>
  </si>
  <si>
    <t>В составе: Аппаратный модуль "Diamond VPN/FW" - 4101, Лицензия на право использования программного обеспечения многофункционального комплекса сетевой защиты "Diamond VPN/FW" - 4101. Версия IDS</t>
  </si>
  <si>
    <t>В составе: Аппаратный модуль "Diamond VPN/FW" - 4105, Лицензия на право использования программного обеспечения многофункционального комплекса сетевой защиты "Diamond VPN/FW" - 4105. Версия IDS</t>
  </si>
  <si>
    <t>В составе: Аппаратный модуль "Diamond VPN/FW" - 5101, Лицензия на право использования программного обеспечения многофункционального комплекса сетевой защиты "Diamond VPN/FW" - 5101. Версия IDS</t>
  </si>
  <si>
    <t>В составе: Аппаратный модуль "Diamond VPN/FW" - 5111, Лицензия на право использования программного обеспечения многофункционального комплекса сетевой защиты "Diamond VPN/FW" - 5111. Версия IDS</t>
  </si>
  <si>
    <t>В составе: Аппаратный модуль "Diamond VPN/FW" - 5121, Лицензия на право использования программного обеспечения многофункционального комплекса сетевой защиты "Diamond VPN/FW" - 5121. Версия IDS</t>
  </si>
  <si>
    <t>В составе: Аппаратный модуль "Diamond VPN/FW" - 5201, Лицензия на право использования программного обеспечения многофункционального комплекса сетевой защиты "Diamond VPN/FW" - 5201. Версия IDS</t>
  </si>
  <si>
    <t>В составе: Аппаратный модуль "Diamond VPN/FW" - 5211, Лицензия на право использования программного обеспечения многофункционального комплекса сетевой защиты "Diamond VPN/FW" - 5211. Версия IDS</t>
  </si>
  <si>
    <t>В составе: Аппаратный модуль "Diamond VPN/FW" - 5221, Лицензия на право использования программного обеспечения многофункционального комплекса сетевой защиты "Diamond VPN/FW" - 5221. Версия IDS</t>
  </si>
  <si>
    <t>В составе: Аппаратный модуль "Diamond VPN/FW" - 6101, Лицензия на право использования программного обеспечения многофункционального комплекса сетевой защиты "Diamond VPN/FW" - 6101. Версия IDS</t>
  </si>
  <si>
    <t>В составе: Аппаратный модуль "Diamond VPN/FW" - 7101,Лицензия на право использования программного обеспечения многофункционального комплекса сетевой защиты "Diamond VPN/FW" - 7101. Версия IDS</t>
  </si>
  <si>
    <t>В составе: Аппаратный модуль "Diamond VPN/FW" - 7141, Лицензия на право использования программного обеспечения многофункционального комплекса сетевой защиты "Diamond VPN/FW" - 7141. Версия IDS</t>
  </si>
  <si>
    <t>В составе: Аппаратный модуль "Diamond VPN/FW" - 7151,Лицензия на право использования прогрАппаратный модульмного обеспечения многофункционального комплекса сетевой защиты "Diamond VPN/FW" - 7151. Версия IDS</t>
  </si>
  <si>
    <t>В составе: Аппаратный модуль "Diamond VPN/FW" - 8101, Лицензия на право использования прогрАппаратный модульмного обеспечения многофункционального комплекса сетевой защиты "Diamond VPN/FW" - 8101. Версия IDS</t>
  </si>
  <si>
    <t>BB-3-074</t>
  </si>
  <si>
    <t>CC-0-180</t>
  </si>
  <si>
    <t>CC-0-380</t>
  </si>
  <si>
    <t>СС-0-580</t>
  </si>
  <si>
    <t>BB-3-075</t>
  </si>
  <si>
    <t>BB-1-064</t>
  </si>
  <si>
    <t>CC-0-181</t>
  </si>
  <si>
    <t>СС-0-381</t>
  </si>
  <si>
    <t>СС-0-581</t>
  </si>
  <si>
    <t>BB-1-065</t>
  </si>
  <si>
    <t>CC-0-182</t>
  </si>
  <si>
    <t>СС-0-382</t>
  </si>
  <si>
    <t>СС-0-582</t>
  </si>
  <si>
    <t>BB-3-076</t>
  </si>
  <si>
    <t>BD-1-055</t>
  </si>
  <si>
    <t>BD-1-056</t>
  </si>
  <si>
    <t>BD-1-057</t>
  </si>
  <si>
    <t>BD-3-054</t>
  </si>
  <si>
    <t>BD-3-055</t>
  </si>
  <si>
    <t>BD-3-056</t>
  </si>
  <si>
    <t>CE-0-159</t>
  </si>
  <si>
    <t>CE-0-359</t>
  </si>
  <si>
    <t>CE-0-559</t>
  </si>
  <si>
    <t>CE-0-160</t>
  </si>
  <si>
    <t>CE-0-360</t>
  </si>
  <si>
    <t>CE-0-560</t>
  </si>
  <si>
    <t>CE-0-161</t>
  </si>
  <si>
    <t>CE-0-361</t>
  </si>
  <si>
    <t>CE-0-561</t>
  </si>
  <si>
    <t>BC-1-055</t>
  </si>
  <si>
    <t>BC-1-056</t>
  </si>
  <si>
    <t>BC-1-057</t>
  </si>
  <si>
    <t>BC-3-054</t>
  </si>
  <si>
    <t>BC-3-055</t>
  </si>
  <si>
    <t>BC-3-056</t>
  </si>
  <si>
    <t>BA-1-052</t>
  </si>
  <si>
    <t>BA-1-053</t>
  </si>
  <si>
    <t>BA-1-054</t>
  </si>
  <si>
    <t>BA-3-052</t>
  </si>
  <si>
    <t>BA-3-053</t>
  </si>
  <si>
    <t>BA-3-054</t>
  </si>
  <si>
    <t>CB-0-157</t>
  </si>
  <si>
    <t>CB-0-357</t>
  </si>
  <si>
    <t>CB-0-557</t>
  </si>
  <si>
    <t>CB-0-158</t>
  </si>
  <si>
    <t>CB-0-358</t>
  </si>
  <si>
    <t>CB-0-558</t>
  </si>
  <si>
    <t>CB-0-159</t>
  </si>
  <si>
    <t>CB-0-359</t>
  </si>
  <si>
    <t>CB-0-559</t>
  </si>
  <si>
    <t>BE-2-002</t>
  </si>
  <si>
    <t>BE-1-005</t>
  </si>
  <si>
    <t>BE-1-006</t>
  </si>
  <si>
    <t>BE-1-007</t>
  </si>
  <si>
    <t>BE-1-008</t>
  </si>
  <si>
    <t>BE-3-005</t>
  </si>
  <si>
    <t>BE-3-006</t>
  </si>
  <si>
    <t>BE-3-007</t>
  </si>
  <si>
    <t>BE-3-008</t>
  </si>
  <si>
    <t>CF-0-110</t>
  </si>
  <si>
    <t>CF-0-310</t>
  </si>
  <si>
    <t>CF-0-510</t>
  </si>
  <si>
    <t>CF-0-111</t>
  </si>
  <si>
    <t>CF-0-311</t>
  </si>
  <si>
    <t>CF-0-511</t>
  </si>
  <si>
    <t>CF-0-112</t>
  </si>
  <si>
    <t>CF-0-312</t>
  </si>
  <si>
    <t>CF-0-512</t>
  </si>
  <si>
    <t>CF-0-113</t>
  </si>
  <si>
    <t>CF-0-313</t>
  </si>
  <si>
    <t>CF-0-513</t>
  </si>
  <si>
    <t>Контроллер Аккорд – GXMH</t>
  </si>
  <si>
    <t>Сертифицированный АМДЗ "Аккорд"</t>
  </si>
  <si>
    <t>Идентификатор для замка</t>
  </si>
  <si>
    <t>Срок действия: с 01.01.21</t>
  </si>
  <si>
    <t xml:space="preserve">
ПРАЙС-ЛИСТ
на поставку программно-аппаратного
многофункционального комплекса сетевой защиты
Diamond VPN/FW - Версия IDS</t>
  </si>
  <si>
    <t xml:space="preserve">
ПРАЙС-ЛИСТ
на поставку программно-аппаратного
многофункционального комплекса сетевой защиты
Diamond VPN/FW - Версия FW</t>
  </si>
  <si>
    <t xml:space="preserve">
ПРАЙС-ЛИСТ
на поставку программно-аппаратного
многофункционального комплекса сетевой защиты
Diamond VPN/FW - Версия UTM</t>
  </si>
  <si>
    <r>
      <rPr>
        <b/>
        <sz val="12"/>
        <color theme="1"/>
        <rFont val="Tahoma"/>
        <family val="2"/>
        <charset val="204"/>
      </rPr>
      <t xml:space="preserve">
ПРАЙС-ЛИСТ
на поставку систем контроля и разграничения доступа</t>
    </r>
    <r>
      <rPr>
        <b/>
        <sz val="11"/>
        <color theme="1"/>
        <rFont val="Tahoma"/>
        <family val="2"/>
        <charset val="204"/>
      </rPr>
      <t xml:space="preserve">
</t>
    </r>
    <r>
      <rPr>
        <b/>
        <sz val="12"/>
        <color theme="1"/>
        <rFont val="Tahoma"/>
        <family val="2"/>
        <charset val="204"/>
      </rPr>
      <t>Diamond ACS</t>
    </r>
    <r>
      <rPr>
        <b/>
        <sz val="11"/>
        <color theme="1"/>
        <rFont val="Tahoma"/>
        <family val="2"/>
        <charset val="204"/>
      </rPr>
      <t xml:space="preserve">
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</si>
  <si>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
</t>
    </r>
    <r>
      <rPr>
        <b/>
        <sz val="12"/>
        <color theme="1"/>
        <rFont val="Tahoma"/>
        <family val="2"/>
        <charset val="204"/>
      </rPr>
      <t xml:space="preserve">ПРАЙС-ЛИСТ
на </t>
    </r>
    <r>
      <rPr>
        <b/>
        <sz val="11"/>
        <color theme="1"/>
        <rFont val="Tahoma"/>
        <family val="2"/>
        <charset val="204"/>
      </rPr>
      <t xml:space="preserve">
</t>
    </r>
    <r>
      <rPr>
        <b/>
        <sz val="12"/>
        <color theme="1"/>
        <rFont val="Tahoma"/>
        <family val="2"/>
        <charset val="204"/>
      </rPr>
      <t>поставку средства криптографической защиты информации "Dcrypt"</t>
    </r>
  </si>
  <si>
    <t>ПРАЙС-ЛИСТ
на программный комплес обновления сигнатур СОВ для «Diamond VPN/FW»</t>
  </si>
  <si>
    <t xml:space="preserve">
ПРАЙС-ЛИСТ
на предоставление услуг
</t>
  </si>
  <si>
    <t xml:space="preserve">Центр управления и мониторинга Diamond NCC - 5115. Полная версия VPN/FW/IDS в составе: </t>
  </si>
  <si>
    <t xml:space="preserve">Центр управления и мониторинга Diamond NCC - 5215. Полная версия VPN/FW/IDS в составе: </t>
  </si>
  <si>
    <t>Центр управления и мониторинга Diamond NCC - 5215. Версия VPN в составе:</t>
  </si>
  <si>
    <t>Центр управления и мониторинга Diamond NCC - 5115. Версия IDS в составе:</t>
  </si>
  <si>
    <t>Центр управления и мониторинга Diamond NCC - 5215. Версия IDS в составе:</t>
  </si>
  <si>
    <t>ПРАЙС-ЛИСТ
на поставку центра управления и мониторинга
многофункционального комплекса сетевой защиты "Diamond VPN/FW"  (Diamond NCC)</t>
  </si>
  <si>
    <t>Срок действия: с 01.01.2021</t>
  </si>
  <si>
    <t>Центр управления и мониторинга Diamond NCC - 5115. Полная версия VPN/FW/IDS»</t>
  </si>
  <si>
    <t>Центр управления и мониторинга Diamond NCC - 5115. Версия VPN»</t>
  </si>
  <si>
    <t>Центр управления и мониторинга Diamond NCC - 5115. Версия FW»</t>
  </si>
  <si>
    <t>Центр управления и мониторинга Diamond NCC - 5115. Версия IDS»</t>
  </si>
  <si>
    <t>Центр управления и мониторинга Diamond NCC - 5215. Полная версия VPN/FW/IDS»</t>
  </si>
  <si>
    <t>Центр управления и мониторинга Diamond NCC - 5215. Версия VPN»</t>
  </si>
  <si>
    <t>Центр управления и мониторинга Diamond NCC - 5215. Версия FW»</t>
  </si>
  <si>
    <t>Центр управления и мониторинга Diamond NCC - 5215. Версия IDS»</t>
  </si>
  <si>
    <t>Программный комплекс системы контроля и разграничения доступа на сетевой рабочей станции «Diamond ACS Agent Linux»</t>
  </si>
  <si>
    <t>Лицензия на право использования программного комплекса системы контроля и разграничения доступа на сетевой рабочей станции «Diamond ACS Agent Linux». За 1 клиента на 1 год</t>
  </si>
  <si>
    <t>Лицензия на право использования программного комплекса системы контроля и разграничения доступа на сетевой рабочей станции «Diamond ACS Agent Linux». За 1 клиента на 3 года</t>
  </si>
  <si>
    <t>Лицензия на право использования программного комплекса системы контроля и разграничения доступа на сетевой рабочей станции «Diamond ACS Agent Linux». За 1 клиента бессрочно</t>
  </si>
  <si>
    <t>FB-1-015</t>
  </si>
  <si>
    <t>FB-1-016</t>
  </si>
  <si>
    <t>FC-1-012</t>
  </si>
  <si>
    <t>FA-1-015</t>
  </si>
  <si>
    <t xml:space="preserve">Салазки для монтажа многофункционального комплекса сетевой защиты в стойку «Diamond VPN/FW 6 серии» </t>
  </si>
  <si>
    <t xml:space="preserve">Салазки для монтажа многофункционального комплекса сетевой защиты в стойку «Diamond VPN/FW 7 серии» </t>
  </si>
  <si>
    <t xml:space="preserve">Салазки для монтажа многофункционального комплекса сетевой защиты в стойку «Diamond VPN/FW 2 серии» </t>
  </si>
  <si>
    <t>Автоматизированное рабочее место для средства криптографической защиты информации «Dcrypt 1.0 v.2» с назначением «КриптоАРМ»</t>
  </si>
  <si>
    <t>BF-2-097</t>
  </si>
  <si>
    <t>CG-0-128</t>
  </si>
  <si>
    <t>CG-0-328</t>
  </si>
  <si>
    <t>CG-0-528</t>
  </si>
  <si>
    <t>BF-2-098</t>
  </si>
  <si>
    <t>Включение в состав коммерческого предложение необходимо для использования в 5 серии "Контроллер Аккорд – GXMH"</t>
  </si>
  <si>
    <t>В комплекте: персональный компьютер, совместимый с КриптоАРМ, монитор, клавиатура, мышь.</t>
  </si>
  <si>
    <t xml:space="preserve">  Стандартная техническая поддержка на 5 лет включает в себя: 
- пакет гарантийного обслуживания уровня "Базовый"
- консультации по вопросам внедрения и работы с системой защиты информации;
- доступ к базе знаний и документации по продукту;
- консультации по телефону в рабочее время без ограничений;
- бесплатные обновления всей линейки продуктов.</t>
  </si>
  <si>
    <t xml:space="preserve">IPMI-карта для многофункционального комплекса сетевой защиты «Diamond VPN/FW 5 серия» </t>
  </si>
  <si>
    <t>Программно-аппаратный комплекс центра управления и мониторинга «Diamond NCC» - 5115. Полная версия VPN/FW/IDS</t>
  </si>
  <si>
    <t>Программно-аппаратный комплекс центра управления и мониторинга «Diamond NCC» - 5215. Полная версия VPN/FW/IDS</t>
  </si>
  <si>
    <t>Центр управления сетью Diamond NCC - 5115. Версия VPN в составе:</t>
  </si>
  <si>
    <t>Программно-аппаратный комплекс центра управления и мониторинга «Diamond NCC» - 5115. Версия VPN</t>
  </si>
  <si>
    <t>Программно-аппаратный комплекс центра управления и мониторинга «Diamond NCC» - 5215. Версия VPN</t>
  </si>
  <si>
    <t>Центр управления и мониторинга Diamond NCC - 5115. Версия FW в составе:</t>
  </si>
  <si>
    <t>Программно-аппаратный комплекс центра управления и мониторинга «Diamond NCC» - 5115. Версия FW</t>
  </si>
  <si>
    <t>Центр управления и мониторинга Diamond NCC - 5215. Версия FW в составе:</t>
  </si>
  <si>
    <t>Программно-аппаратный комплекс центра управления и мониторинга «Diamond NCC» - 5215. Версия FW</t>
  </si>
  <si>
    <t>Программно-аппаратный комплекс центра управления и мониторинга «Diamond NCC» - 5115. Версия IDS</t>
  </si>
  <si>
    <t>Программно-аппаратный комплекс центра управления и мониторинга «Diamond NCC» - 5215. Версия IDS</t>
  </si>
  <si>
    <t>Клиент многофункционального комплекса сетевой защиты «Diamond VPN/FW». Версия FW уровня узла»</t>
  </si>
  <si>
    <t>Лицензия на право использования клиента многофункционального комплекса сетевой защиты «Diamond VPN/FW». Версия FW уровня узла</t>
  </si>
  <si>
    <t>1 x 10/100 BaseT Ethernet, HDMI, 4 x USB 2.0, Настольное исполнение</t>
  </si>
  <si>
    <t>Программное обеспечение многофункционального комплекса сетевой защиты «m-Trust-Diamond VPN/FW» - 0501.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</t>
  </si>
  <si>
    <t>Программно-аппаратный комплекс многофункционального комплекса сетевой защиты  «m-Trust-Diamond VPN/FW» - 0501. Версия VPN осуществляет построение защищенных туннелей. Сертификация: ФСТЭК (4-й класс защиты, межсетевой экран типа «А», «Б» и «В», система обнаружения вторжения уровня сети).
В составе: Аппаратный модуль микрокомпьютера m-TrusT, Лицензия на право использования Микрокомпьютера m-TrusT, Лицензия на право использования многофункционального комплекса сетевой защиты «m-Trust-Diamond VPN/FW» - 0501. Версия VPN.</t>
  </si>
  <si>
    <t>Клиент многофункционального комплекса сетевой защиты «Diamond VPN/FW». Версия VPN»</t>
  </si>
  <si>
    <t>BB-1-066</t>
  </si>
  <si>
    <t>BB-1-062</t>
  </si>
  <si>
    <t>CC-0-183</t>
  </si>
  <si>
    <t>СС-0-383</t>
  </si>
  <si>
    <t>СС-0-583</t>
  </si>
  <si>
    <t>CC-0-184</t>
  </si>
  <si>
    <t>CC-0-384</t>
  </si>
  <si>
    <t>CC-0-584</t>
  </si>
  <si>
    <t>BB-3-077</t>
  </si>
  <si>
    <t>CD-0-161</t>
  </si>
  <si>
    <t>CD-0-361</t>
  </si>
  <si>
    <t>CD-0-561</t>
  </si>
  <si>
    <t>CD-0-162</t>
  </si>
  <si>
    <t>CD-0-362</t>
  </si>
  <si>
    <t>CD-0-562</t>
  </si>
  <si>
    <t>CD-0-163</t>
  </si>
  <si>
    <t>CD-0-363</t>
  </si>
  <si>
    <t>CD-0-563</t>
  </si>
  <si>
    <t>Сертификат активации сервиса прямой технической поддержки уровня "Стандартный" на 1 год для центра управления и мониторинга «Diamond NCC»</t>
  </si>
  <si>
    <t>Сертификат активации сервиса прямой технической поддержки уровня "Стандартный" на 3 года для центра управления и мониторинга «Diamond NCC»</t>
  </si>
  <si>
    <t>Сертификат активации сервиса прямой технической поддержки уровня "Стандартный" на 5 лет для центра управления и мониторинга «Diamond NCC»</t>
  </si>
  <si>
    <t>Сертификат активации сервиса прямой технической поддержки уровня "Расширенный" на 1 год для центра управления и мониторинга «Diamond NCC»</t>
  </si>
  <si>
    <t>Сертификат активации сервиса прямой технической поддержки уровня "Расширенный" на 3 года для центра управления и мониторинга «Diamond NCC»</t>
  </si>
  <si>
    <t>Сертификат активации сервиса прямой технической поддержки уровня "Расширенный" на 5 лет для центра управления и мониторинга «Diamond NCC»</t>
  </si>
  <si>
    <t>Сертификат активации сервиса прямой технической поддержки уровня "Эксклюзивный" на 1 год для центра управления и мониторинга «Diamond NCC»</t>
  </si>
  <si>
    <t>Сертификат активации сервиса прямой технической поддержки уровня "Эксклюзивный" на 3 года для центра управления и мониторинга «Diamond NCC»</t>
  </si>
  <si>
    <t>Сертификат активации сервиса прямой технической поддержки уровня "Эксклюзивный" на 5 лет для центра управления и мониторинга «Diamond NCC»</t>
  </si>
  <si>
    <t>Сертификат активации сервиса совместной технической поддержки уровня "Стандартный" на 1 год для центра управления и мониторинга «Diamond NCC»</t>
  </si>
  <si>
    <t>Сертификат активации сервиса совместной технической поддержки уровня "Расширенный" на 1 год для центра управления и мониторинга «Diamond NCC»</t>
  </si>
  <si>
    <t>Лицензия на право использования средства криптографической защиты информации «Dcrypt 1.0 v.2», исп. 17 Client</t>
  </si>
  <si>
    <t>Лицензия на право использования средства криптографической защиты информации «Dcrypt 1.0 v.2», исп. 20  Network Server</t>
  </si>
  <si>
    <t>Лицензия на право использования средства криптографической защиты информации «Dcrypt 1.0 v.2», исп. 20 Client</t>
  </si>
  <si>
    <t>Лицензия на право использования средства криптографической защиты информации «Dcrypt 1.0 v.2», исп. 25 Network Server</t>
  </si>
  <si>
    <t>Лицензия на право использования средства криптографической защиты информации «Dcrypt 1.0 v.2», исп. 29 Network Server</t>
  </si>
  <si>
    <t>Лицензия на право использования средства криптографической защиты информации «Dcrypt 1.0 v.2», исп. 29 Client</t>
  </si>
  <si>
    <t>Лицензия на право использования средства криптографической защиты информации «Dcrypt 1.0 v.2», исп. 25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</si>
</sst>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[$$-409]#,##0.00"/>
    <numFmt numFmtId="165" formatCode="#,##0&quot;р.&quot;"/>
    <numFmt numFmtId="166" formatCode="#,##0.00\ &quot;₽&quot;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9"/>
      <name val="Tahoma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rgb="FF222222"/>
      <name val="Tahoma"/>
      <family val="2"/>
      <charset val="204"/>
    </font>
    <font>
      <i/>
      <sz val="10"/>
      <name val="Tahoma"/>
      <family val="2"/>
      <charset val="204"/>
    </font>
    <font>
      <sz val="11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0"/>
      <color rgb="FFFF000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theme="0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0"/>
      <name val="Tahoma"/>
      <family val="2"/>
      <charset val="204"/>
    </font>
    <font>
      <b/>
      <sz val="1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A929D"/>
        <bgColor indexed="64"/>
      </patternFill>
    </fill>
    <fill>
      <patternFill patternType="solid">
        <fgColor rgb="FFABD5D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indexed="64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medium">
        <color auto="1"/>
      </right>
      <top/>
      <bottom style="medium">
        <color indexed="64"/>
      </bottom>
      <diagonal/>
    </border>
    <border>
      <left style="thick">
        <color indexed="64"/>
      </left>
      <right style="medium">
        <color auto="1"/>
      </right>
      <top/>
      <bottom style="thin">
        <color indexed="64"/>
      </bottom>
      <diagonal/>
    </border>
    <border>
      <left style="thick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medium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indexed="64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 style="medium">
        <color indexed="64"/>
      </right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85">
    <xf numFmtId="0" fontId="0" fillId="0" borderId="0" xfId="0"/>
    <xf numFmtId="0" fontId="4" fillId="3" borderId="24" xfId="3" applyNumberFormat="1" applyFont="1" applyFill="1" applyBorder="1" applyAlignment="1">
      <alignment horizontal="center" vertical="center" wrapText="1"/>
    </xf>
    <xf numFmtId="0" fontId="4" fillId="3" borderId="25" xfId="3" applyNumberFormat="1" applyFont="1" applyFill="1" applyBorder="1" applyAlignment="1">
      <alignment horizontal="center" vertical="center" wrapText="1"/>
    </xf>
    <xf numFmtId="0" fontId="4" fillId="3" borderId="26" xfId="3" applyNumberFormat="1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left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left" vertical="center" wrapText="1"/>
    </xf>
    <xf numFmtId="0" fontId="5" fillId="4" borderId="21" xfId="3" applyNumberFormat="1" applyFont="1" applyFill="1" applyBorder="1" applyAlignment="1">
      <alignment horizontal="left" vertical="center" wrapText="1"/>
    </xf>
    <xf numFmtId="164" fontId="4" fillId="4" borderId="21" xfId="3" applyNumberFormat="1" applyFont="1" applyFill="1" applyBorder="1" applyAlignment="1">
      <alignment horizontal="center" vertical="center" wrapText="1"/>
    </xf>
    <xf numFmtId="0" fontId="7" fillId="4" borderId="23" xfId="3" applyNumberFormat="1" applyFont="1" applyFill="1" applyBorder="1" applyAlignment="1">
      <alignment horizontal="left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6" fillId="0" borderId="4" xfId="3" applyNumberFormat="1" applyFont="1" applyFill="1" applyBorder="1" applyAlignment="1">
      <alignment horizontal="left" vertical="center" wrapText="1"/>
    </xf>
    <xf numFmtId="0" fontId="6" fillId="0" borderId="7" xfId="3" applyNumberFormat="1" applyFont="1" applyFill="1" applyBorder="1" applyAlignment="1">
      <alignment horizontal="left" vertical="center" wrapText="1"/>
    </xf>
    <xf numFmtId="9" fontId="6" fillId="0" borderId="5" xfId="3" applyNumberFormat="1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left" vertical="center" wrapText="1"/>
    </xf>
    <xf numFmtId="0" fontId="4" fillId="4" borderId="20" xfId="3" applyNumberFormat="1" applyFont="1" applyFill="1" applyBorder="1" applyAlignment="1">
      <alignment horizontal="left" vertical="center" wrapText="1"/>
    </xf>
    <xf numFmtId="0" fontId="5" fillId="4" borderId="21" xfId="3" applyNumberFormat="1" applyFont="1" applyFill="1" applyBorder="1" applyAlignment="1">
      <alignment horizontal="left" vertical="center" wrapText="1"/>
    </xf>
    <xf numFmtId="164" fontId="4" fillId="4" borderId="21" xfId="3" applyNumberFormat="1" applyFont="1" applyFill="1" applyBorder="1" applyAlignment="1">
      <alignment horizontal="center" vertical="center" wrapText="1"/>
    </xf>
    <xf numFmtId="0" fontId="7" fillId="4" borderId="23" xfId="3" applyNumberFormat="1" applyFont="1" applyFill="1" applyBorder="1" applyAlignment="1">
      <alignment horizontal="left" vertical="center" wrapText="1"/>
    </xf>
    <xf numFmtId="2" fontId="4" fillId="4" borderId="21" xfId="3" applyNumberFormat="1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left" vertical="center" wrapText="1"/>
    </xf>
    <xf numFmtId="9" fontId="6" fillId="2" borderId="6" xfId="4" applyNumberFormat="1" applyFont="1" applyFill="1" applyBorder="1" applyAlignment="1">
      <alignment horizontal="center" vertical="center" wrapText="1"/>
    </xf>
    <xf numFmtId="0" fontId="4" fillId="3" borderId="29" xfId="3" applyNumberFormat="1" applyFont="1" applyFill="1" applyBorder="1" applyAlignment="1">
      <alignment horizontal="center" vertical="center" wrapText="1"/>
    </xf>
    <xf numFmtId="0" fontId="4" fillId="4" borderId="30" xfId="3" applyNumberFormat="1" applyFont="1" applyFill="1" applyBorder="1" applyAlignment="1">
      <alignment horizontal="left" vertical="center" wrapText="1"/>
    </xf>
    <xf numFmtId="0" fontId="4" fillId="3" borderId="20" xfId="3" applyNumberFormat="1" applyFont="1" applyFill="1" applyBorder="1" applyAlignment="1">
      <alignment horizontal="center" vertical="center" wrapText="1"/>
    </xf>
    <xf numFmtId="0" fontId="4" fillId="3" borderId="21" xfId="3" applyNumberFormat="1" applyFont="1" applyFill="1" applyBorder="1" applyAlignment="1">
      <alignment horizontal="center" vertical="center" wrapText="1"/>
    </xf>
    <xf numFmtId="9" fontId="4" fillId="3" borderId="21" xfId="3" applyNumberFormat="1" applyFont="1" applyFill="1" applyBorder="1" applyAlignment="1">
      <alignment horizontal="center" vertical="center" wrapText="1"/>
    </xf>
    <xf numFmtId="0" fontId="4" fillId="3" borderId="23" xfId="3" applyNumberFormat="1" applyFont="1" applyFill="1" applyBorder="1" applyAlignment="1">
      <alignment horizontal="center" vertical="center" wrapText="1"/>
    </xf>
    <xf numFmtId="0" fontId="7" fillId="0" borderId="34" xfId="3" applyFont="1" applyFill="1" applyBorder="1" applyAlignment="1">
      <alignment horizontal="left" vertical="center" wrapText="1"/>
    </xf>
    <xf numFmtId="9" fontId="6" fillId="2" borderId="15" xfId="4" applyNumberFormat="1" applyFont="1" applyFill="1" applyBorder="1" applyAlignment="1">
      <alignment horizontal="center" vertical="center" wrapText="1"/>
    </xf>
    <xf numFmtId="9" fontId="6" fillId="2" borderId="18" xfId="4" applyNumberFormat="1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left" vertical="center" wrapText="1"/>
    </xf>
    <xf numFmtId="0" fontId="5" fillId="6" borderId="2" xfId="3" applyNumberFormat="1" applyFont="1" applyFill="1" applyBorder="1" applyAlignment="1">
      <alignment horizontal="left" vertical="center" wrapText="1"/>
    </xf>
    <xf numFmtId="164" fontId="4" fillId="6" borderId="2" xfId="3" applyNumberFormat="1" applyFont="1" applyFill="1" applyBorder="1" applyAlignment="1">
      <alignment horizontal="center" vertical="center" wrapText="1"/>
    </xf>
    <xf numFmtId="0" fontId="6" fillId="6" borderId="5" xfId="3" applyNumberFormat="1" applyFont="1" applyFill="1" applyBorder="1" applyAlignment="1">
      <alignment horizontal="center" vertical="center" wrapText="1"/>
    </xf>
    <xf numFmtId="164" fontId="6" fillId="6" borderId="5" xfId="3" applyNumberFormat="1" applyFont="1" applyFill="1" applyBorder="1" applyAlignment="1">
      <alignment horizontal="center" vertical="center" wrapText="1"/>
    </xf>
    <xf numFmtId="0" fontId="4" fillId="6" borderId="32" xfId="3" applyNumberFormat="1" applyFont="1" applyFill="1" applyBorder="1" applyAlignment="1">
      <alignment horizontal="left" vertical="center" wrapText="1"/>
    </xf>
    <xf numFmtId="165" fontId="6" fillId="6" borderId="6" xfId="2" applyNumberFormat="1" applyFont="1" applyFill="1" applyBorder="1" applyAlignment="1">
      <alignment horizontal="center" vertical="center" wrapText="1"/>
    </xf>
    <xf numFmtId="165" fontId="6" fillId="6" borderId="5" xfId="2" applyNumberFormat="1" applyFont="1" applyFill="1" applyBorder="1" applyAlignment="1">
      <alignment horizontal="center" vertical="center" wrapText="1"/>
    </xf>
    <xf numFmtId="0" fontId="7" fillId="7" borderId="4" xfId="3" applyFont="1" applyFill="1" applyBorder="1" applyAlignment="1">
      <alignment horizontal="left" vertical="center" wrapText="1"/>
    </xf>
    <xf numFmtId="0" fontId="7" fillId="7" borderId="5" xfId="3" applyFont="1" applyFill="1" applyBorder="1" applyAlignment="1">
      <alignment horizontal="center" vertical="center" wrapText="1"/>
    </xf>
    <xf numFmtId="165" fontId="6" fillId="7" borderId="6" xfId="4" applyNumberFormat="1" applyFont="1" applyFill="1" applyBorder="1" applyAlignment="1">
      <alignment horizontal="center" vertical="center" wrapText="1"/>
    </xf>
    <xf numFmtId="9" fontId="6" fillId="7" borderId="6" xfId="4" applyNumberFormat="1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vertical="center" wrapText="1"/>
    </xf>
    <xf numFmtId="0" fontId="7" fillId="7" borderId="10" xfId="3" applyFont="1" applyFill="1" applyBorder="1" applyAlignment="1">
      <alignment horizontal="left" vertical="center" wrapText="1"/>
    </xf>
    <xf numFmtId="0" fontId="6" fillId="7" borderId="10" xfId="3" applyFont="1" applyFill="1" applyBorder="1" applyAlignment="1">
      <alignment horizontal="left" vertical="center" wrapText="1"/>
    </xf>
    <xf numFmtId="0" fontId="7" fillId="7" borderId="11" xfId="3" applyFont="1" applyFill="1" applyBorder="1" applyAlignment="1">
      <alignment horizontal="center" vertical="center" wrapText="1"/>
    </xf>
    <xf numFmtId="2" fontId="6" fillId="7" borderId="11" xfId="4" applyNumberFormat="1" applyFont="1" applyFill="1" applyBorder="1" applyAlignment="1">
      <alignment horizontal="center" vertical="center" wrapText="1"/>
    </xf>
    <xf numFmtId="165" fontId="6" fillId="7" borderId="18" xfId="4" applyNumberFormat="1" applyFont="1" applyFill="1" applyBorder="1" applyAlignment="1">
      <alignment horizontal="center" vertical="center" wrapText="1"/>
    </xf>
    <xf numFmtId="9" fontId="6" fillId="7" borderId="18" xfId="4" applyNumberFormat="1" applyFont="1" applyFill="1" applyBorder="1" applyAlignment="1">
      <alignment horizontal="center" vertical="center" wrapText="1"/>
    </xf>
    <xf numFmtId="0" fontId="7" fillId="7" borderId="19" xfId="3" applyFont="1" applyFill="1" applyBorder="1" applyAlignment="1">
      <alignment horizontal="left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vertical="center" wrapText="1"/>
    </xf>
    <xf numFmtId="0" fontId="6" fillId="7" borderId="19" xfId="3" applyFont="1" applyFill="1" applyBorder="1" applyAlignment="1">
      <alignment horizontal="left" vertical="center" wrapText="1"/>
    </xf>
    <xf numFmtId="0" fontId="6" fillId="0" borderId="16" xfId="3" applyFont="1" applyFill="1" applyBorder="1" applyAlignment="1">
      <alignment horizontal="left" vertical="center" wrapText="1"/>
    </xf>
    <xf numFmtId="0" fontId="7" fillId="7" borderId="17" xfId="3" applyFont="1" applyFill="1" applyBorder="1" applyAlignment="1">
      <alignment horizontal="left" vertical="center" wrapText="1"/>
    </xf>
    <xf numFmtId="0" fontId="7" fillId="7" borderId="19" xfId="0" applyFont="1" applyFill="1" applyBorder="1" applyAlignment="1">
      <alignment vertical="center" wrapText="1"/>
    </xf>
    <xf numFmtId="9" fontId="6" fillId="2" borderId="8" xfId="4" applyNumberFormat="1" applyFont="1" applyFill="1" applyBorder="1" applyAlignment="1">
      <alignment horizontal="center" vertical="center" wrapText="1"/>
    </xf>
    <xf numFmtId="164" fontId="6" fillId="4" borderId="23" xfId="3" applyNumberFormat="1" applyFont="1" applyFill="1" applyBorder="1" applyAlignment="1">
      <alignment horizontal="left" vertical="center" wrapText="1"/>
    </xf>
    <xf numFmtId="164" fontId="6" fillId="6" borderId="9" xfId="3" applyNumberFormat="1" applyFont="1" applyFill="1" applyBorder="1" applyAlignment="1">
      <alignment horizontal="left" vertical="center" wrapText="1"/>
    </xf>
    <xf numFmtId="9" fontId="6" fillId="6" borderId="10" xfId="2" applyNumberFormat="1" applyFont="1" applyFill="1" applyBorder="1" applyAlignment="1">
      <alignment horizontal="left" vertical="center" wrapText="1"/>
    </xf>
    <xf numFmtId="0" fontId="4" fillId="8" borderId="38" xfId="3" applyNumberFormat="1" applyFont="1" applyFill="1" applyBorder="1" applyAlignment="1">
      <alignment horizontal="center" vertical="center" wrapText="1"/>
    </xf>
    <xf numFmtId="0" fontId="4" fillId="4" borderId="39" xfId="3" applyNumberFormat="1" applyFont="1" applyFill="1" applyBorder="1" applyAlignment="1">
      <alignment horizontal="left" vertical="center" wrapText="1"/>
    </xf>
    <xf numFmtId="0" fontId="10" fillId="8" borderId="35" xfId="3" applyNumberFormat="1" applyFont="1" applyFill="1" applyBorder="1" applyAlignment="1">
      <alignment horizontal="center" vertical="center" wrapText="1"/>
    </xf>
    <xf numFmtId="0" fontId="6" fillId="7" borderId="5" xfId="3" applyFont="1" applyFill="1" applyBorder="1" applyAlignment="1">
      <alignment horizontal="center" vertical="center" wrapText="1"/>
    </xf>
    <xf numFmtId="0" fontId="6" fillId="7" borderId="4" xfId="3" applyFont="1" applyFill="1" applyBorder="1" applyAlignment="1">
      <alignment horizontal="left" vertical="center" wrapText="1"/>
    </xf>
    <xf numFmtId="0" fontId="0" fillId="0" borderId="43" xfId="0" applyBorder="1"/>
    <xf numFmtId="0" fontId="0" fillId="0" borderId="40" xfId="0" applyBorder="1" applyAlignment="1">
      <alignment horizontal="center" vertical="center"/>
    </xf>
    <xf numFmtId="0" fontId="4" fillId="6" borderId="44" xfId="3" applyNumberFormat="1" applyFont="1" applyFill="1" applyBorder="1" applyAlignment="1">
      <alignment horizontal="left" vertical="center" wrapText="1"/>
    </xf>
    <xf numFmtId="0" fontId="0" fillId="2" borderId="40" xfId="0" applyFill="1" applyBorder="1" applyAlignment="1">
      <alignment horizontal="center"/>
    </xf>
    <xf numFmtId="0" fontId="0" fillId="0" borderId="40" xfId="0" applyBorder="1"/>
    <xf numFmtId="9" fontId="4" fillId="3" borderId="40" xfId="3" applyNumberFormat="1" applyFont="1" applyFill="1" applyBorder="1" applyAlignment="1">
      <alignment horizontal="center" vertical="center" wrapText="1"/>
    </xf>
    <xf numFmtId="0" fontId="0" fillId="8" borderId="40" xfId="0" applyFill="1" applyBorder="1"/>
    <xf numFmtId="9" fontId="4" fillId="8" borderId="40" xfId="3" applyNumberFormat="1" applyFont="1" applyFill="1" applyBorder="1" applyAlignment="1">
      <alignment horizontal="center" vertical="center" wrapText="1"/>
    </xf>
    <xf numFmtId="9" fontId="4" fillId="8" borderId="46" xfId="3" applyNumberFormat="1" applyFont="1" applyFill="1" applyBorder="1" applyAlignment="1">
      <alignment horizontal="center" vertical="center" wrapText="1"/>
    </xf>
    <xf numFmtId="0" fontId="0" fillId="0" borderId="45" xfId="0" applyBorder="1"/>
    <xf numFmtId="0" fontId="6" fillId="0" borderId="34" xfId="3" applyNumberFormat="1" applyFont="1" applyFill="1" applyBorder="1" applyAlignment="1">
      <alignment horizontal="left" vertical="center" wrapText="1"/>
    </xf>
    <xf numFmtId="0" fontId="4" fillId="3" borderId="51" xfId="3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52" xfId="0" applyBorder="1"/>
    <xf numFmtId="9" fontId="6" fillId="0" borderId="11" xfId="1" applyFont="1" applyFill="1" applyBorder="1" applyAlignment="1">
      <alignment horizontal="center" vertical="center" wrapText="1"/>
    </xf>
    <xf numFmtId="0" fontId="6" fillId="2" borderId="32" xfId="3" applyNumberFormat="1" applyFont="1" applyFill="1" applyBorder="1" applyAlignment="1">
      <alignment horizontal="left" vertical="center" wrapText="1"/>
    </xf>
    <xf numFmtId="0" fontId="0" fillId="0" borderId="49" xfId="0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0" fontId="15" fillId="0" borderId="0" xfId="0" applyFont="1" applyAlignment="1">
      <alignment wrapText="1"/>
    </xf>
    <xf numFmtId="9" fontId="6" fillId="2" borderId="11" xfId="3" applyNumberFormat="1" applyFont="1" applyFill="1" applyBorder="1" applyAlignment="1">
      <alignment horizontal="center" vertical="center" wrapText="1"/>
    </xf>
    <xf numFmtId="49" fontId="0" fillId="0" borderId="57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6" fillId="0" borderId="14" xfId="3" applyFont="1" applyFill="1" applyBorder="1" applyAlignment="1">
      <alignment horizontal="left" vertical="center" wrapText="1"/>
    </xf>
    <xf numFmtId="0" fontId="4" fillId="4" borderId="36" xfId="3" applyNumberFormat="1" applyFont="1" applyFill="1" applyBorder="1" applyAlignment="1">
      <alignment horizontal="left" vertical="center" wrapText="1"/>
    </xf>
    <xf numFmtId="0" fontId="5" fillId="4" borderId="27" xfId="3" applyNumberFormat="1" applyFont="1" applyFill="1" applyBorder="1" applyAlignment="1">
      <alignment horizontal="left" vertical="center" wrapText="1"/>
    </xf>
    <xf numFmtId="164" fontId="4" fillId="4" borderId="27" xfId="3" applyNumberFormat="1" applyFont="1" applyFill="1" applyBorder="1" applyAlignment="1">
      <alignment horizontal="center" vertical="center" wrapText="1"/>
    </xf>
    <xf numFmtId="0" fontId="7" fillId="4" borderId="37" xfId="3" applyNumberFormat="1" applyFont="1" applyFill="1" applyBorder="1" applyAlignment="1">
      <alignment horizontal="left" vertical="center" wrapText="1"/>
    </xf>
    <xf numFmtId="0" fontId="7" fillId="7" borderId="2" xfId="3" applyFont="1" applyFill="1" applyBorder="1" applyAlignment="1">
      <alignment horizontal="center" vertical="center" wrapText="1"/>
    </xf>
    <xf numFmtId="165" fontId="6" fillId="7" borderId="3" xfId="4" applyNumberFormat="1" applyFont="1" applyFill="1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/>
    </xf>
    <xf numFmtId="49" fontId="0" fillId="0" borderId="60" xfId="0" applyNumberFormat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 wrapText="1"/>
    </xf>
    <xf numFmtId="2" fontId="0" fillId="0" borderId="0" xfId="0" applyNumberFormat="1"/>
    <xf numFmtId="2" fontId="6" fillId="7" borderId="18" xfId="4" applyNumberFormat="1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left" vertical="center" wrapText="1"/>
    </xf>
    <xf numFmtId="0" fontId="7" fillId="2" borderId="34" xfId="3" applyFont="1" applyFill="1" applyBorder="1" applyAlignment="1">
      <alignment horizontal="left" vertical="center" wrapText="1"/>
    </xf>
    <xf numFmtId="9" fontId="6" fillId="2" borderId="12" xfId="4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6" fontId="4" fillId="4" borderId="21" xfId="3" applyNumberFormat="1" applyFont="1" applyFill="1" applyBorder="1" applyAlignment="1">
      <alignment horizontal="center" vertical="center" wrapText="1"/>
    </xf>
    <xf numFmtId="166" fontId="4" fillId="6" borderId="2" xfId="3" applyNumberFormat="1" applyFont="1" applyFill="1" applyBorder="1" applyAlignment="1">
      <alignment horizontal="center" vertical="center" wrapText="1"/>
    </xf>
    <xf numFmtId="166" fontId="6" fillId="6" borderId="5" xfId="2" applyNumberFormat="1" applyFont="1" applyFill="1" applyBorder="1" applyAlignment="1">
      <alignment horizontal="center" vertical="center" wrapText="1"/>
    </xf>
    <xf numFmtId="166" fontId="6" fillId="6" borderId="6" xfId="2" applyNumberFormat="1" applyFont="1" applyFill="1" applyBorder="1" applyAlignment="1">
      <alignment horizontal="center" vertical="center" wrapText="1"/>
    </xf>
    <xf numFmtId="166" fontId="6" fillId="0" borderId="11" xfId="4" applyNumberFormat="1" applyFont="1" applyFill="1" applyBorder="1" applyAlignment="1">
      <alignment horizontal="center" vertical="center" wrapText="1"/>
    </xf>
    <xf numFmtId="166" fontId="6" fillId="0" borderId="5" xfId="4" applyNumberFormat="1" applyFont="1" applyFill="1" applyBorder="1" applyAlignment="1">
      <alignment horizontal="center" vertical="center" wrapText="1"/>
    </xf>
    <xf numFmtId="166" fontId="6" fillId="0" borderId="6" xfId="4" applyNumberFormat="1" applyFont="1" applyFill="1" applyBorder="1" applyAlignment="1">
      <alignment horizontal="center" vertical="center" wrapText="1"/>
    </xf>
    <xf numFmtId="166" fontId="6" fillId="0" borderId="12" xfId="4" applyNumberFormat="1" applyFont="1" applyFill="1" applyBorder="1" applyAlignment="1">
      <alignment horizontal="center" vertical="center" wrapText="1"/>
    </xf>
    <xf numFmtId="166" fontId="6" fillId="7" borderId="5" xfId="4" applyNumberFormat="1" applyFont="1" applyFill="1" applyBorder="1" applyAlignment="1">
      <alignment horizontal="center" vertical="center" wrapText="1"/>
    </xf>
    <xf numFmtId="166" fontId="6" fillId="7" borderId="6" xfId="4" applyNumberFormat="1" applyFont="1" applyFill="1" applyBorder="1" applyAlignment="1">
      <alignment horizontal="center" vertical="center" wrapText="1"/>
    </xf>
    <xf numFmtId="166" fontId="6" fillId="0" borderId="8" xfId="4" applyNumberFormat="1" applyFont="1" applyFill="1" applyBorder="1" applyAlignment="1">
      <alignment horizontal="center" vertical="center" wrapText="1"/>
    </xf>
    <xf numFmtId="166" fontId="6" fillId="7" borderId="11" xfId="4" applyNumberFormat="1" applyFont="1" applyFill="1" applyBorder="1" applyAlignment="1">
      <alignment horizontal="center" vertical="center" wrapText="1"/>
    </xf>
    <xf numFmtId="166" fontId="6" fillId="7" borderId="18" xfId="4" applyNumberFormat="1" applyFont="1" applyFill="1" applyBorder="1" applyAlignment="1">
      <alignment horizontal="center" vertical="center" wrapText="1"/>
    </xf>
    <xf numFmtId="166" fontId="6" fillId="7" borderId="2" xfId="4" applyNumberFormat="1" applyFont="1" applyFill="1" applyBorder="1" applyAlignment="1">
      <alignment horizontal="center" vertical="center" wrapText="1"/>
    </xf>
    <xf numFmtId="166" fontId="6" fillId="7" borderId="3" xfId="4" applyNumberFormat="1" applyFont="1" applyFill="1" applyBorder="1" applyAlignment="1">
      <alignment horizontal="center" vertical="center" wrapText="1"/>
    </xf>
    <xf numFmtId="166" fontId="4" fillId="4" borderId="27" xfId="3" applyNumberFormat="1" applyFont="1" applyFill="1" applyBorder="1" applyAlignment="1">
      <alignment horizontal="center" vertical="center" wrapText="1"/>
    </xf>
    <xf numFmtId="166" fontId="6" fillId="7" borderId="5" xfId="3" applyNumberFormat="1" applyFont="1" applyFill="1" applyBorder="1" applyAlignment="1">
      <alignment horizontal="center" vertical="center" wrapText="1"/>
    </xf>
    <xf numFmtId="166" fontId="6" fillId="7" borderId="0" xfId="3" applyNumberFormat="1" applyFont="1" applyFill="1" applyAlignment="1">
      <alignment horizontal="center" vertical="center" wrapText="1"/>
    </xf>
    <xf numFmtId="166" fontId="6" fillId="7" borderId="6" xfId="3" applyNumberFormat="1" applyFont="1" applyFill="1" applyBorder="1" applyAlignment="1">
      <alignment horizontal="center" vertical="center" wrapText="1"/>
    </xf>
    <xf numFmtId="166" fontId="6" fillId="2" borderId="5" xfId="3" applyNumberFormat="1" applyFont="1" applyFill="1" applyBorder="1" applyAlignment="1">
      <alignment horizontal="center" vertical="center" wrapText="1"/>
    </xf>
    <xf numFmtId="166" fontId="6" fillId="2" borderId="8" xfId="3" applyNumberFormat="1" applyFont="1" applyFill="1" applyBorder="1" applyAlignment="1">
      <alignment horizontal="center" vertical="center" wrapText="1"/>
    </xf>
    <xf numFmtId="165" fontId="6" fillId="2" borderId="18" xfId="4" applyNumberFormat="1" applyFont="1" applyFill="1" applyBorder="1" applyAlignment="1">
      <alignment horizontal="center" vertical="center" wrapText="1"/>
    </xf>
    <xf numFmtId="0" fontId="6" fillId="6" borderId="4" xfId="3" applyNumberFormat="1" applyFont="1" applyFill="1" applyBorder="1" applyAlignment="1">
      <alignment horizontal="left" vertical="center" wrapText="1"/>
    </xf>
    <xf numFmtId="0" fontId="7" fillId="7" borderId="32" xfId="3" applyFont="1" applyFill="1" applyBorder="1" applyAlignment="1">
      <alignment horizontal="left" vertical="center" wrapText="1"/>
    </xf>
    <xf numFmtId="0" fontId="7" fillId="7" borderId="34" xfId="3" applyFont="1" applyFill="1" applyBorder="1" applyAlignment="1">
      <alignment horizontal="left" vertical="center" wrapText="1"/>
    </xf>
    <xf numFmtId="0" fontId="7" fillId="7" borderId="14" xfId="3" applyFont="1" applyFill="1" applyBorder="1" applyAlignment="1">
      <alignment horizontal="left" vertical="center" wrapText="1"/>
    </xf>
    <xf numFmtId="0" fontId="7" fillId="7" borderId="12" xfId="3" applyFont="1" applyFill="1" applyBorder="1" applyAlignment="1">
      <alignment horizontal="center" vertical="center" wrapText="1"/>
    </xf>
    <xf numFmtId="166" fontId="0" fillId="7" borderId="5" xfId="0" applyNumberFormat="1" applyFill="1" applyBorder="1" applyAlignment="1">
      <alignment horizontal="center" vertical="center"/>
    </xf>
    <xf numFmtId="0" fontId="10" fillId="8" borderId="1" xfId="3" applyNumberFormat="1" applyFont="1" applyFill="1" applyBorder="1" applyAlignment="1">
      <alignment horizontal="center" vertical="center" wrapText="1"/>
    </xf>
    <xf numFmtId="0" fontId="5" fillId="4" borderId="21" xfId="3" applyNumberFormat="1" applyFont="1" applyFill="1" applyBorder="1" applyAlignment="1">
      <alignment horizontal="center" vertical="center" wrapText="1"/>
    </xf>
    <xf numFmtId="0" fontId="7" fillId="4" borderId="23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6" fillId="6" borderId="9" xfId="3" applyNumberFormat="1" applyFont="1" applyFill="1" applyBorder="1" applyAlignment="1">
      <alignment horizontal="center" vertical="center" wrapText="1"/>
    </xf>
    <xf numFmtId="164" fontId="6" fillId="6" borderId="10" xfId="3" applyNumberFormat="1" applyFont="1" applyFill="1" applyBorder="1" applyAlignment="1">
      <alignment horizontal="center" vertical="center" wrapText="1"/>
    </xf>
    <xf numFmtId="9" fontId="6" fillId="0" borderId="12" xfId="3" applyNumberFormat="1" applyFont="1" applyFill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/>
    </xf>
    <xf numFmtId="0" fontId="7" fillId="0" borderId="32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9" fontId="6" fillId="2" borderId="5" xfId="3" applyNumberFormat="1" applyFont="1" applyFill="1" applyBorder="1" applyAlignment="1">
      <alignment horizontal="center" vertical="center" wrapText="1"/>
    </xf>
    <xf numFmtId="9" fontId="6" fillId="2" borderId="8" xfId="3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6" fillId="7" borderId="11" xfId="2" applyNumberFormat="1" applyFont="1" applyFill="1" applyBorder="1" applyAlignment="1">
      <alignment horizontal="center" vertical="center" wrapText="1"/>
    </xf>
    <xf numFmtId="166" fontId="6" fillId="7" borderId="6" xfId="2" applyNumberFormat="1" applyFont="1" applyFill="1" applyBorder="1" applyAlignment="1">
      <alignment horizontal="center" vertical="center" wrapText="1"/>
    </xf>
    <xf numFmtId="166" fontId="6" fillId="7" borderId="5" xfId="2" applyNumberFormat="1" applyFont="1" applyFill="1" applyBorder="1" applyAlignment="1">
      <alignment horizontal="center" vertical="center" wrapText="1"/>
    </xf>
    <xf numFmtId="0" fontId="6" fillId="7" borderId="31" xfId="3" applyNumberFormat="1" applyFont="1" applyFill="1" applyBorder="1" applyAlignment="1">
      <alignment horizontal="left" vertical="center" wrapText="1"/>
    </xf>
    <xf numFmtId="0" fontId="6" fillId="7" borderId="11" xfId="3" applyNumberFormat="1" applyFont="1" applyFill="1" applyBorder="1" applyAlignment="1">
      <alignment horizontal="center" vertical="center" wrapText="1"/>
    </xf>
    <xf numFmtId="164" fontId="6" fillId="7" borderId="5" xfId="3" applyNumberFormat="1" applyFont="1" applyFill="1" applyBorder="1" applyAlignment="1">
      <alignment horizontal="center" vertical="center" wrapText="1"/>
    </xf>
    <xf numFmtId="0" fontId="6" fillId="7" borderId="32" xfId="3" applyNumberFormat="1" applyFont="1" applyFill="1" applyBorder="1" applyAlignment="1">
      <alignment horizontal="left" vertical="center" wrapText="1"/>
    </xf>
    <xf numFmtId="9" fontId="6" fillId="7" borderId="11" xfId="3" applyNumberFormat="1" applyFont="1" applyFill="1" applyBorder="1" applyAlignment="1">
      <alignment horizontal="center" vertical="center" wrapText="1"/>
    </xf>
    <xf numFmtId="165" fontId="6" fillId="7" borderId="6" xfId="2" applyNumberFormat="1" applyFont="1" applyFill="1" applyBorder="1" applyAlignment="1">
      <alignment horizontal="center" vertical="center" wrapText="1"/>
    </xf>
    <xf numFmtId="0" fontId="6" fillId="7" borderId="5" xfId="3" applyNumberFormat="1" applyFont="1" applyFill="1" applyBorder="1" applyAlignment="1">
      <alignment horizontal="center" vertical="center" wrapText="1"/>
    </xf>
    <xf numFmtId="0" fontId="6" fillId="7" borderId="10" xfId="3" applyNumberFormat="1" applyFont="1" applyFill="1" applyBorder="1" applyAlignment="1">
      <alignment horizontal="left" vertical="center" wrapText="1"/>
    </xf>
    <xf numFmtId="0" fontId="6" fillId="7" borderId="4" xfId="3" applyNumberFormat="1" applyFont="1" applyFill="1" applyBorder="1" applyAlignment="1">
      <alignment horizontal="left" vertical="center" wrapText="1"/>
    </xf>
    <xf numFmtId="0" fontId="7" fillId="0" borderId="7" xfId="3" applyFont="1" applyFill="1" applyBorder="1" applyAlignment="1">
      <alignment horizontal="left" vertical="center" wrapText="1"/>
    </xf>
    <xf numFmtId="0" fontId="7" fillId="7" borderId="1" xfId="3" applyFont="1" applyFill="1" applyBorder="1" applyAlignment="1">
      <alignment horizontal="left" vertical="center" wrapText="1"/>
    </xf>
    <xf numFmtId="0" fontId="7" fillId="2" borderId="35" xfId="3" applyFont="1" applyFill="1" applyBorder="1" applyAlignment="1">
      <alignment horizontal="left" vertical="center" wrapText="1"/>
    </xf>
    <xf numFmtId="0" fontId="7" fillId="0" borderId="32" xfId="3" applyNumberFormat="1" applyFont="1" applyFill="1" applyBorder="1" applyAlignment="1">
      <alignment vertical="center" wrapText="1"/>
    </xf>
    <xf numFmtId="0" fontId="7" fillId="0" borderId="33" xfId="3" applyNumberFormat="1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7" fillId="0" borderId="32" xfId="0" applyFont="1" applyBorder="1"/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7" borderId="32" xfId="0" applyFont="1" applyFill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left" vertical="center" wrapText="1"/>
    </xf>
    <xf numFmtId="166" fontId="7" fillId="0" borderId="8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/>
    </xf>
    <xf numFmtId="9" fontId="6" fillId="7" borderId="1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49" fontId="0" fillId="0" borderId="5" xfId="0" applyNumberFormat="1" applyBorder="1" applyAlignment="1">
      <alignment horizontal="center" vertical="center"/>
    </xf>
    <xf numFmtId="9" fontId="6" fillId="2" borderId="5" xfId="4" applyNumberFormat="1" applyFont="1" applyFill="1" applyBorder="1" applyAlignment="1">
      <alignment horizontal="center" vertical="center" wrapText="1"/>
    </xf>
    <xf numFmtId="0" fontId="15" fillId="0" borderId="0" xfId="0" applyFont="1"/>
    <xf numFmtId="9" fontId="6" fillId="2" borderId="13" xfId="4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19" fillId="0" borderId="0" xfId="0" applyFont="1"/>
    <xf numFmtId="0" fontId="7" fillId="7" borderId="9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49" fontId="0" fillId="0" borderId="59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0" fontId="6" fillId="0" borderId="10" xfId="3" applyFont="1" applyFill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12" xfId="3" applyFont="1" applyFill="1" applyBorder="1" applyAlignment="1">
      <alignment horizontal="center" vertical="center" wrapText="1"/>
    </xf>
    <xf numFmtId="166" fontId="6" fillId="2" borderId="12" xfId="3" applyNumberFormat="1" applyFont="1" applyFill="1" applyBorder="1" applyAlignment="1">
      <alignment horizontal="center" vertical="center" wrapText="1"/>
    </xf>
    <xf numFmtId="0" fontId="7" fillId="7" borderId="31" xfId="3" applyFont="1" applyFill="1" applyBorder="1" applyAlignment="1">
      <alignment horizontal="left" vertical="center" wrapText="1"/>
    </xf>
    <xf numFmtId="0" fontId="0" fillId="0" borderId="48" xfId="0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9" fontId="6" fillId="2" borderId="12" xfId="3" applyNumberFormat="1" applyFont="1" applyFill="1" applyBorder="1" applyAlignment="1">
      <alignment horizontal="center" vertical="center" wrapText="1"/>
    </xf>
    <xf numFmtId="0" fontId="6" fillId="2" borderId="33" xfId="3" applyNumberFormat="1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49" fontId="7" fillId="0" borderId="59" xfId="0" applyNumberFormat="1" applyFont="1" applyBorder="1" applyAlignment="1">
      <alignment horizontal="center" vertical="center"/>
    </xf>
    <xf numFmtId="49" fontId="7" fillId="0" borderId="50" xfId="0" applyNumberFormat="1" applyFont="1" applyBorder="1" applyAlignment="1">
      <alignment horizontal="center" vertical="center"/>
    </xf>
    <xf numFmtId="49" fontId="7" fillId="0" borderId="57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0" fontId="7" fillId="0" borderId="40" xfId="0" applyFont="1" applyBorder="1"/>
    <xf numFmtId="49" fontId="7" fillId="0" borderId="49" xfId="0" applyNumberFormat="1" applyFont="1" applyBorder="1" applyAlignment="1">
      <alignment horizontal="center" vertical="center"/>
    </xf>
    <xf numFmtId="49" fontId="7" fillId="0" borderId="63" xfId="0" applyNumberFormat="1" applyFont="1" applyBorder="1" applyAlignment="1">
      <alignment horizontal="center" vertical="center"/>
    </xf>
    <xf numFmtId="49" fontId="7" fillId="0" borderId="50" xfId="0" applyNumberFormat="1" applyFont="1" applyBorder="1" applyAlignment="1">
      <alignment horizontal="center" vertical="center" wrapText="1"/>
    </xf>
    <xf numFmtId="49" fontId="7" fillId="0" borderId="57" xfId="0" applyNumberFormat="1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2" borderId="31" xfId="3" applyNumberFormat="1" applyFont="1" applyFill="1" applyBorder="1" applyAlignment="1">
      <alignment horizontal="left" vertical="center" wrapText="1"/>
    </xf>
    <xf numFmtId="0" fontId="6" fillId="2" borderId="11" xfId="3" applyNumberFormat="1" applyFont="1" applyFill="1" applyBorder="1" applyAlignment="1">
      <alignment horizontal="center" vertical="center" wrapText="1"/>
    </xf>
    <xf numFmtId="166" fontId="6" fillId="2" borderId="11" xfId="2" applyNumberFormat="1" applyFont="1" applyFill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left" vertical="center" wrapText="1"/>
    </xf>
    <xf numFmtId="0" fontId="6" fillId="2" borderId="5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left" vertical="center" wrapText="1"/>
    </xf>
    <xf numFmtId="0" fontId="6" fillId="2" borderId="4" xfId="3" applyNumberFormat="1" applyFont="1" applyFill="1" applyBorder="1" applyAlignment="1">
      <alignment horizontal="left" vertical="center" wrapText="1"/>
    </xf>
    <xf numFmtId="49" fontId="6" fillId="2" borderId="6" xfId="2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166" fontId="6" fillId="2" borderId="5" xfId="2" applyNumberFormat="1" applyFont="1" applyFill="1" applyBorder="1" applyAlignment="1">
      <alignment horizontal="center" vertical="center" wrapText="1"/>
    </xf>
    <xf numFmtId="0" fontId="6" fillId="7" borderId="34" xfId="3" applyNumberFormat="1" applyFont="1" applyFill="1" applyBorder="1" applyAlignment="1">
      <alignment horizontal="left" vertical="center" wrapText="1"/>
    </xf>
    <xf numFmtId="166" fontId="6" fillId="2" borderId="6" xfId="2" applyNumberFormat="1" applyFont="1" applyFill="1" applyBorder="1" applyAlignment="1">
      <alignment horizontal="center" vertical="center" wrapText="1"/>
    </xf>
    <xf numFmtId="0" fontId="6" fillId="2" borderId="10" xfId="3" applyNumberFormat="1" applyFont="1" applyFill="1" applyBorder="1" applyAlignment="1">
      <alignment horizontal="left" vertical="center" wrapText="1"/>
    </xf>
    <xf numFmtId="0" fontId="6" fillId="7" borderId="33" xfId="3" applyNumberFormat="1" applyFont="1" applyFill="1" applyBorder="1" applyAlignment="1">
      <alignment horizontal="left" vertical="center" wrapText="1"/>
    </xf>
    <xf numFmtId="0" fontId="6" fillId="7" borderId="12" xfId="3" applyNumberFormat="1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left" vertical="center" wrapText="1"/>
    </xf>
    <xf numFmtId="0" fontId="6" fillId="2" borderId="34" xfId="3" applyNumberFormat="1" applyFont="1" applyFill="1" applyBorder="1" applyAlignment="1">
      <alignment horizontal="left" vertical="center" wrapText="1"/>
    </xf>
    <xf numFmtId="0" fontId="7" fillId="2" borderId="16" xfId="3" applyFont="1" applyFill="1" applyBorder="1" applyAlignment="1">
      <alignment horizontal="left" vertical="center" wrapText="1"/>
    </xf>
    <xf numFmtId="166" fontId="0" fillId="2" borderId="5" xfId="0" applyNumberFormat="1" applyFill="1" applyBorder="1" applyAlignment="1">
      <alignment horizontal="center" vertical="center"/>
    </xf>
    <xf numFmtId="0" fontId="6" fillId="2" borderId="12" xfId="3" applyNumberFormat="1" applyFont="1" applyFill="1" applyBorder="1" applyAlignment="1">
      <alignment horizontal="center" vertical="center" wrapText="1"/>
    </xf>
    <xf numFmtId="166" fontId="6" fillId="2" borderId="12" xfId="2" applyNumberFormat="1" applyFont="1" applyFill="1" applyBorder="1" applyAlignment="1">
      <alignment horizontal="center" vertical="center" wrapText="1"/>
    </xf>
    <xf numFmtId="0" fontId="6" fillId="2" borderId="14" xfId="3" applyNumberFormat="1" applyFont="1" applyFill="1" applyBorder="1" applyAlignment="1">
      <alignment horizontal="left" vertical="center" wrapText="1"/>
    </xf>
    <xf numFmtId="0" fontId="6" fillId="2" borderId="16" xfId="3" applyNumberFormat="1" applyFont="1" applyFill="1" applyBorder="1" applyAlignment="1">
      <alignment horizontal="left" vertical="center" wrapText="1"/>
    </xf>
    <xf numFmtId="0" fontId="7" fillId="2" borderId="31" xfId="3" applyFont="1" applyFill="1" applyBorder="1" applyAlignment="1">
      <alignment horizontal="left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32" xfId="3" applyFont="1" applyFill="1" applyBorder="1" applyAlignment="1">
      <alignment horizontal="left" vertical="center" wrapText="1"/>
    </xf>
    <xf numFmtId="0" fontId="7" fillId="2" borderId="33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left" vertical="center" wrapText="1"/>
    </xf>
    <xf numFmtId="164" fontId="6" fillId="7" borderId="2" xfId="3" applyNumberFormat="1" applyFont="1" applyFill="1" applyBorder="1" applyAlignment="1">
      <alignment horizontal="center" vertical="center" wrapText="1"/>
    </xf>
    <xf numFmtId="166" fontId="6" fillId="7" borderId="41" xfId="2" applyNumberFormat="1" applyFont="1" applyFill="1" applyBorder="1" applyAlignment="1">
      <alignment horizontal="center" vertical="center" wrapText="1"/>
    </xf>
    <xf numFmtId="165" fontId="6" fillId="7" borderId="64" xfId="2" applyNumberFormat="1" applyFont="1" applyFill="1" applyBorder="1" applyAlignment="1">
      <alignment horizontal="center" vertical="center" wrapText="1"/>
    </xf>
    <xf numFmtId="166" fontId="6" fillId="7" borderId="18" xfId="2" applyNumberFormat="1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top" wrapText="1"/>
    </xf>
    <xf numFmtId="166" fontId="6" fillId="7" borderId="12" xfId="4" applyNumberFormat="1" applyFont="1" applyFill="1" applyBorder="1" applyAlignment="1">
      <alignment horizontal="center" vertical="center" wrapText="1"/>
    </xf>
    <xf numFmtId="166" fontId="6" fillId="7" borderId="13" xfId="4" applyNumberFormat="1" applyFont="1" applyFill="1" applyBorder="1" applyAlignment="1">
      <alignment horizontal="center" vertical="center" wrapText="1"/>
    </xf>
    <xf numFmtId="0" fontId="7" fillId="2" borderId="17" xfId="3" applyFont="1" applyFill="1" applyBorder="1" applyAlignment="1">
      <alignment horizontal="left" vertical="center" wrapText="1"/>
    </xf>
    <xf numFmtId="166" fontId="6" fillId="2" borderId="11" xfId="4" applyNumberFormat="1" applyFont="1" applyFill="1" applyBorder="1" applyAlignment="1">
      <alignment horizontal="center" vertical="center" wrapText="1"/>
    </xf>
    <xf numFmtId="166" fontId="6" fillId="2" borderId="5" xfId="4" applyNumberFormat="1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166" fontId="7" fillId="0" borderId="8" xfId="0" applyNumberFormat="1" applyFont="1" applyBorder="1" applyAlignment="1">
      <alignment horizontal="center" vertical="center" wrapText="1"/>
    </xf>
    <xf numFmtId="165" fontId="6" fillId="2" borderId="15" xfId="4" applyNumberFormat="1" applyFont="1" applyFill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left" vertical="center" wrapText="1"/>
    </xf>
    <xf numFmtId="0" fontId="18" fillId="0" borderId="0" xfId="3" applyFont="1" applyFill="1" applyBorder="1" applyAlignment="1">
      <alignment horizontal="left" vertical="center"/>
    </xf>
    <xf numFmtId="0" fontId="7" fillId="0" borderId="65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6" fontId="0" fillId="0" borderId="5" xfId="0" applyNumberForma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/>
    </xf>
    <xf numFmtId="166" fontId="0" fillId="0" borderId="12" xfId="0" applyNumberFormat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49" fontId="6" fillId="2" borderId="18" xfId="4" applyNumberFormat="1" applyFont="1" applyFill="1" applyBorder="1" applyAlignment="1">
      <alignment horizontal="center" vertical="center" wrapText="1"/>
    </xf>
    <xf numFmtId="49" fontId="6" fillId="2" borderId="8" xfId="4" applyNumberFormat="1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left" vertical="center" wrapText="1"/>
    </xf>
    <xf numFmtId="49" fontId="0" fillId="7" borderId="5" xfId="0" applyNumberForma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left" vertical="center" wrapText="1"/>
    </xf>
    <xf numFmtId="166" fontId="7" fillId="2" borderId="5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65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7" fillId="0" borderId="58" xfId="0" applyFont="1" applyBorder="1" applyAlignment="1">
      <alignment horizontal="center" vertical="center"/>
    </xf>
    <xf numFmtId="0" fontId="10" fillId="8" borderId="45" xfId="3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7" fillId="7" borderId="8" xfId="3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9" fontId="6" fillId="7" borderId="5" xfId="4" applyNumberFormat="1" applyFont="1" applyFill="1" applyBorder="1" applyAlignment="1">
      <alignment horizontal="center" vertical="center" wrapText="1"/>
    </xf>
    <xf numFmtId="0" fontId="7" fillId="0" borderId="0" xfId="0" applyFont="1"/>
    <xf numFmtId="165" fontId="6" fillId="2" borderId="2" xfId="4" applyNumberFormat="1" applyFont="1" applyFill="1" applyBorder="1" applyAlignment="1">
      <alignment horizontal="center" vertical="center" wrapText="1"/>
    </xf>
    <xf numFmtId="166" fontId="6" fillId="2" borderId="41" xfId="2" applyNumberFormat="1" applyFont="1" applyFill="1" applyBorder="1" applyAlignment="1">
      <alignment horizontal="center" vertical="center" wrapText="1"/>
    </xf>
    <xf numFmtId="0" fontId="7" fillId="7" borderId="7" xfId="3" applyFont="1" applyFill="1" applyBorder="1" applyAlignment="1">
      <alignment horizontal="left" vertical="center" wrapText="1"/>
    </xf>
    <xf numFmtId="166" fontId="6" fillId="7" borderId="8" xfId="2" applyNumberFormat="1" applyFont="1" applyFill="1" applyBorder="1" applyAlignment="1">
      <alignment horizontal="center" vertical="center" wrapText="1"/>
    </xf>
    <xf numFmtId="166" fontId="6" fillId="7" borderId="15" xfId="2" applyNumberFormat="1" applyFont="1" applyFill="1" applyBorder="1" applyAlignment="1">
      <alignment horizontal="center" vertical="center" wrapText="1"/>
    </xf>
    <xf numFmtId="9" fontId="6" fillId="7" borderId="8" xfId="3" applyNumberFormat="1" applyFont="1" applyFill="1" applyBorder="1" applyAlignment="1">
      <alignment horizontal="center" vertical="center" wrapText="1"/>
    </xf>
    <xf numFmtId="49" fontId="7" fillId="0" borderId="49" xfId="0" applyNumberFormat="1" applyFont="1" applyBorder="1" applyAlignment="1">
      <alignment horizontal="center" vertical="center"/>
    </xf>
    <xf numFmtId="49" fontId="7" fillId="0" borderId="59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44" fontId="6" fillId="7" borderId="15" xfId="2" applyNumberFormat="1" applyFont="1" applyFill="1" applyBorder="1" applyAlignment="1">
      <alignment horizontal="center" vertical="center" wrapText="1"/>
    </xf>
    <xf numFmtId="164" fontId="4" fillId="4" borderId="66" xfId="3" applyNumberFormat="1" applyFont="1" applyFill="1" applyBorder="1" applyAlignment="1">
      <alignment horizontal="center" vertical="center" wrapText="1"/>
    </xf>
    <xf numFmtId="9" fontId="6" fillId="0" borderId="11" xfId="3" applyNumberFormat="1" applyFont="1" applyFill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6" fillId="0" borderId="2" xfId="1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9" fontId="6" fillId="0" borderId="27" xfId="1" applyFont="1" applyFill="1" applyBorder="1" applyAlignment="1">
      <alignment horizontal="center" vertical="center" wrapText="1"/>
    </xf>
    <xf numFmtId="0" fontId="7" fillId="0" borderId="37" xfId="3" applyFont="1" applyFill="1" applyBorder="1" applyAlignment="1">
      <alignment horizontal="left" vertical="center" wrapText="1"/>
    </xf>
    <xf numFmtId="49" fontId="6" fillId="2" borderId="12" xfId="4" applyNumberFormat="1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left" vertical="center" wrapText="1"/>
    </xf>
    <xf numFmtId="166" fontId="0" fillId="7" borderId="11" xfId="0" applyNumberForma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left" vertical="center" wrapText="1"/>
    </xf>
    <xf numFmtId="0" fontId="4" fillId="6" borderId="20" xfId="3" applyNumberFormat="1" applyFont="1" applyFill="1" applyBorder="1" applyAlignment="1">
      <alignment horizontal="left" vertical="center"/>
    </xf>
    <xf numFmtId="49" fontId="6" fillId="6" borderId="21" xfId="3" applyNumberFormat="1" applyFont="1" applyFill="1" applyBorder="1" applyAlignment="1">
      <alignment horizontal="center" vertical="center"/>
    </xf>
    <xf numFmtId="166" fontId="6" fillId="6" borderId="21" xfId="2" applyNumberFormat="1" applyFont="1" applyFill="1" applyBorder="1" applyAlignment="1">
      <alignment horizontal="center" vertical="center"/>
    </xf>
    <xf numFmtId="9" fontId="6" fillId="6" borderId="23" xfId="3" applyNumberFormat="1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left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/>
    </xf>
    <xf numFmtId="9" fontId="6" fillId="6" borderId="23" xfId="3" applyNumberFormat="1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49" fontId="6" fillId="2" borderId="64" xfId="4" applyNumberFormat="1" applyFont="1" applyFill="1" applyBorder="1" applyAlignment="1">
      <alignment horizontal="center" vertical="center" wrapText="1"/>
    </xf>
    <xf numFmtId="49" fontId="0" fillId="7" borderId="11" xfId="0" applyNumberFormat="1" applyFill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7" fillId="0" borderId="34" xfId="0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center" vertical="center"/>
    </xf>
    <xf numFmtId="49" fontId="7" fillId="7" borderId="11" xfId="0" applyNumberFormat="1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6" fillId="7" borderId="17" xfId="3" applyFont="1" applyFill="1" applyBorder="1" applyAlignment="1">
      <alignment horizontal="left" vertical="center" wrapText="1"/>
    </xf>
    <xf numFmtId="0" fontId="6" fillId="7" borderId="11" xfId="3" applyFont="1" applyFill="1" applyBorder="1" applyAlignment="1">
      <alignment horizontal="center" vertical="center" wrapText="1"/>
    </xf>
    <xf numFmtId="166" fontId="6" fillId="7" borderId="11" xfId="3" applyNumberFormat="1" applyFont="1" applyFill="1" applyBorder="1" applyAlignment="1">
      <alignment horizontal="center" vertical="center" wrapText="1"/>
    </xf>
    <xf numFmtId="166" fontId="6" fillId="7" borderId="18" xfId="3" applyNumberFormat="1" applyFont="1" applyFill="1" applyBorder="1" applyAlignment="1">
      <alignment horizontal="center" vertical="center" wrapText="1"/>
    </xf>
    <xf numFmtId="165" fontId="6" fillId="7" borderId="18" xfId="3" applyNumberFormat="1" applyFont="1" applyFill="1" applyBorder="1" applyAlignment="1">
      <alignment horizontal="center" vertical="center" wrapText="1"/>
    </xf>
    <xf numFmtId="166" fontId="6" fillId="2" borderId="41" xfId="3" applyNumberFormat="1" applyFont="1" applyFill="1" applyBorder="1" applyAlignment="1">
      <alignment horizontal="center" vertical="center" wrapText="1"/>
    </xf>
    <xf numFmtId="0" fontId="7" fillId="0" borderId="42" xfId="3" applyFont="1" applyFill="1" applyBorder="1" applyAlignment="1">
      <alignment horizontal="left" vertical="center" wrapText="1"/>
    </xf>
    <xf numFmtId="49" fontId="8" fillId="0" borderId="46" xfId="0" applyNumberFormat="1" applyFon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7" fillId="0" borderId="59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66" xfId="0" applyNumberFormat="1" applyFont="1" applyBorder="1" applyAlignment="1">
      <alignment horizontal="center" vertical="center"/>
    </xf>
    <xf numFmtId="49" fontId="8" fillId="0" borderId="58" xfId="0" applyNumberFormat="1" applyFont="1" applyBorder="1" applyAlignment="1">
      <alignment horizontal="center" vertical="center" wrapText="1"/>
    </xf>
    <xf numFmtId="0" fontId="15" fillId="0" borderId="0" xfId="0" applyFont="1" applyBorder="1"/>
    <xf numFmtId="49" fontId="6" fillId="6" borderId="27" xfId="3" applyNumberFormat="1" applyFont="1" applyFill="1" applyBorder="1" applyAlignment="1">
      <alignment horizontal="center" vertical="center"/>
    </xf>
    <xf numFmtId="166" fontId="6" fillId="6" borderId="27" xfId="2" applyNumberFormat="1" applyFont="1" applyFill="1" applyBorder="1" applyAlignment="1">
      <alignment horizontal="center" vertical="center"/>
    </xf>
    <xf numFmtId="9" fontId="6" fillId="6" borderId="37" xfId="3" applyNumberFormat="1" applyFont="1" applyFill="1" applyBorder="1" applyAlignment="1">
      <alignment horizontal="center" vertical="center"/>
    </xf>
    <xf numFmtId="0" fontId="4" fillId="6" borderId="39" xfId="3" applyNumberFormat="1" applyFont="1" applyFill="1" applyBorder="1" applyAlignment="1">
      <alignment horizontal="left" vertical="center"/>
    </xf>
    <xf numFmtId="164" fontId="4" fillId="4" borderId="67" xfId="3" applyNumberFormat="1" applyFont="1" applyFill="1" applyBorder="1" applyAlignment="1">
      <alignment horizontal="center" vertical="center" wrapText="1"/>
    </xf>
    <xf numFmtId="164" fontId="4" fillId="4" borderId="68" xfId="3" applyNumberFormat="1" applyFont="1" applyFill="1" applyBorder="1" applyAlignment="1">
      <alignment horizontal="center" vertical="center" wrapText="1"/>
    </xf>
    <xf numFmtId="0" fontId="5" fillId="4" borderId="67" xfId="3" applyNumberFormat="1" applyFont="1" applyFill="1" applyBorder="1" applyAlignment="1">
      <alignment horizontal="left" vertical="center" wrapText="1"/>
    </xf>
    <xf numFmtId="0" fontId="0" fillId="2" borderId="47" xfId="0" applyFill="1" applyBorder="1" applyAlignment="1">
      <alignment horizontal="center"/>
    </xf>
    <xf numFmtId="0" fontId="4" fillId="6" borderId="36" xfId="3" applyNumberFormat="1" applyFont="1" applyFill="1" applyBorder="1" applyAlignment="1">
      <alignment horizontal="left" vertical="center"/>
    </xf>
    <xf numFmtId="9" fontId="6" fillId="6" borderId="37" xfId="3" applyNumberFormat="1" applyFont="1" applyFill="1" applyBorder="1" applyAlignment="1">
      <alignment horizontal="center" vertical="center" wrapText="1"/>
    </xf>
    <xf numFmtId="0" fontId="4" fillId="4" borderId="69" xfId="3" applyNumberFormat="1" applyFont="1" applyFill="1" applyBorder="1" applyAlignment="1">
      <alignment horizontal="left" vertical="center" wrapText="1"/>
    </xf>
    <xf numFmtId="0" fontId="5" fillId="4" borderId="70" xfId="3" applyNumberFormat="1" applyFont="1" applyFill="1" applyBorder="1" applyAlignment="1">
      <alignment horizontal="left" vertical="center" wrapText="1"/>
    </xf>
    <xf numFmtId="164" fontId="4" fillId="4" borderId="71" xfId="3" applyNumberFormat="1" applyFont="1" applyFill="1" applyBorder="1" applyAlignment="1">
      <alignment horizontal="center" vertical="center" wrapText="1"/>
    </xf>
    <xf numFmtId="0" fontId="4" fillId="4" borderId="72" xfId="3" applyNumberFormat="1" applyFont="1" applyFill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166" fontId="4" fillId="4" borderId="67" xfId="3" applyNumberFormat="1" applyFont="1" applyFill="1" applyBorder="1" applyAlignment="1">
      <alignment horizontal="center" vertical="center" wrapText="1"/>
    </xf>
    <xf numFmtId="2" fontId="6" fillId="7" borderId="11" xfId="3" applyNumberFormat="1" applyFont="1" applyFill="1" applyBorder="1" applyAlignment="1">
      <alignment horizontal="center" vertical="center" wrapText="1"/>
    </xf>
    <xf numFmtId="2" fontId="6" fillId="7" borderId="18" xfId="3" applyNumberFormat="1" applyFont="1" applyFill="1" applyBorder="1" applyAlignment="1">
      <alignment horizontal="center" vertical="center" wrapText="1"/>
    </xf>
    <xf numFmtId="9" fontId="4" fillId="3" borderId="47" xfId="3" applyNumberFormat="1" applyFont="1" applyFill="1" applyBorder="1" applyAlignment="1">
      <alignment horizontal="center" vertical="center" wrapText="1"/>
    </xf>
    <xf numFmtId="9" fontId="4" fillId="8" borderId="74" xfId="3" applyNumberFormat="1" applyFont="1" applyFill="1" applyBorder="1" applyAlignment="1">
      <alignment horizontal="center" vertical="center" wrapText="1"/>
    </xf>
    <xf numFmtId="0" fontId="0" fillId="2" borderId="0" xfId="0" applyFill="1"/>
    <xf numFmtId="0" fontId="15" fillId="2" borderId="0" xfId="0" applyFont="1" applyFill="1"/>
    <xf numFmtId="0" fontId="0" fillId="0" borderId="0" xfId="0" applyNumberFormat="1"/>
    <xf numFmtId="2" fontId="0" fillId="2" borderId="0" xfId="0" applyNumberFormat="1" applyFill="1"/>
    <xf numFmtId="1" fontId="15" fillId="2" borderId="0" xfId="0" applyNumberFormat="1" applyFont="1" applyFill="1"/>
    <xf numFmtId="1" fontId="0" fillId="2" borderId="0" xfId="0" applyNumberFormat="1" applyFill="1"/>
    <xf numFmtId="0" fontId="20" fillId="0" borderId="58" xfId="0" applyFont="1" applyBorder="1" applyAlignment="1">
      <alignment horizontal="center" vertical="center"/>
    </xf>
    <xf numFmtId="0" fontId="6" fillId="7" borderId="1" xfId="3" applyFont="1" applyFill="1" applyBorder="1" applyAlignment="1">
      <alignment horizontal="left" vertical="center" wrapText="1"/>
    </xf>
    <xf numFmtId="0" fontId="6" fillId="7" borderId="2" xfId="3" applyFont="1" applyFill="1" applyBorder="1" applyAlignment="1">
      <alignment horizontal="center" vertical="center" wrapText="1"/>
    </xf>
    <xf numFmtId="166" fontId="6" fillId="7" borderId="2" xfId="3" applyNumberFormat="1" applyFont="1" applyFill="1" applyBorder="1" applyAlignment="1">
      <alignment horizontal="center" vertical="center" wrapText="1"/>
    </xf>
    <xf numFmtId="166" fontId="6" fillId="7" borderId="3" xfId="3" applyNumberFormat="1" applyFont="1" applyFill="1" applyBorder="1" applyAlignment="1">
      <alignment horizontal="center" vertical="center" wrapText="1"/>
    </xf>
    <xf numFmtId="165" fontId="6" fillId="7" borderId="3" xfId="3" applyNumberFormat="1" applyFont="1" applyFill="1" applyBorder="1" applyAlignment="1">
      <alignment horizontal="center" vertical="center" wrapText="1"/>
    </xf>
    <xf numFmtId="0" fontId="7" fillId="7" borderId="9" xfId="3" applyFont="1" applyFill="1" applyBorder="1" applyAlignment="1">
      <alignment horizontal="left" vertical="center" wrapText="1"/>
    </xf>
    <xf numFmtId="49" fontId="7" fillId="0" borderId="79" xfId="0" applyNumberFormat="1" applyFont="1" applyBorder="1" applyAlignment="1">
      <alignment horizontal="center" vertical="center"/>
    </xf>
    <xf numFmtId="49" fontId="7" fillId="0" borderId="81" xfId="0" applyNumberFormat="1" applyFont="1" applyBorder="1" applyAlignment="1">
      <alignment horizontal="center" vertical="center"/>
    </xf>
    <xf numFmtId="49" fontId="7" fillId="0" borderId="82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horizontal="center" vertical="center"/>
    </xf>
    <xf numFmtId="9" fontId="6" fillId="7" borderId="2" xfId="4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4" fillId="4" borderId="24" xfId="3" applyNumberFormat="1" applyFont="1" applyFill="1" applyBorder="1" applyAlignment="1">
      <alignment horizontal="left" vertical="center" wrapText="1"/>
    </xf>
    <xf numFmtId="166" fontId="4" fillId="4" borderId="25" xfId="3" applyNumberFormat="1" applyFont="1" applyFill="1" applyBorder="1" applyAlignment="1">
      <alignment horizontal="center" vertical="center" wrapText="1"/>
    </xf>
    <xf numFmtId="164" fontId="4" fillId="4" borderId="25" xfId="3" applyNumberFormat="1" applyFont="1" applyFill="1" applyBorder="1" applyAlignment="1">
      <alignment horizontal="center" vertical="center" wrapText="1"/>
    </xf>
    <xf numFmtId="0" fontId="7" fillId="4" borderId="26" xfId="3" applyNumberFormat="1" applyFont="1" applyFill="1" applyBorder="1" applyAlignment="1">
      <alignment horizontal="left" vertical="center" wrapText="1"/>
    </xf>
    <xf numFmtId="166" fontId="6" fillId="0" borderId="2" xfId="4" applyNumberFormat="1" applyFont="1" applyFill="1" applyBorder="1" applyAlignment="1">
      <alignment horizontal="center" vertical="center" wrapText="1"/>
    </xf>
    <xf numFmtId="9" fontId="6" fillId="2" borderId="2" xfId="4" applyNumberFormat="1" applyFont="1" applyFill="1" applyBorder="1" applyAlignment="1">
      <alignment horizontal="center" vertical="center" wrapText="1"/>
    </xf>
    <xf numFmtId="166" fontId="6" fillId="2" borderId="6" xfId="4" applyNumberFormat="1" applyFont="1" applyFill="1" applyBorder="1" applyAlignment="1">
      <alignment horizontal="center" vertical="center" wrapText="1"/>
    </xf>
    <xf numFmtId="166" fontId="6" fillId="2" borderId="12" xfId="4" applyNumberFormat="1" applyFont="1" applyFill="1" applyBorder="1" applyAlignment="1">
      <alignment horizontal="center" vertical="center" wrapText="1"/>
    </xf>
    <xf numFmtId="49" fontId="7" fillId="0" borderId="83" xfId="0" applyNumberFormat="1" applyFont="1" applyBorder="1" applyAlignment="1">
      <alignment horizontal="center" vertical="center"/>
    </xf>
    <xf numFmtId="49" fontId="7" fillId="0" borderId="84" xfId="0" applyNumberFormat="1" applyFont="1" applyBorder="1" applyAlignment="1">
      <alignment horizontal="center" vertical="center"/>
    </xf>
    <xf numFmtId="49" fontId="8" fillId="0" borderId="66" xfId="0" applyNumberFormat="1" applyFont="1" applyBorder="1" applyAlignment="1">
      <alignment vertical="center"/>
    </xf>
    <xf numFmtId="166" fontId="4" fillId="4" borderId="22" xfId="3" applyNumberFormat="1" applyFont="1" applyFill="1" applyBorder="1" applyAlignment="1">
      <alignment horizontal="center" vertical="center" wrapText="1"/>
    </xf>
    <xf numFmtId="0" fontId="7" fillId="4" borderId="51" xfId="3" applyNumberFormat="1" applyFont="1" applyFill="1" applyBorder="1" applyAlignment="1">
      <alignment horizontal="left" vertical="center" wrapText="1"/>
    </xf>
    <xf numFmtId="2" fontId="6" fillId="7" borderId="2" xfId="3" applyNumberFormat="1" applyFont="1" applyFill="1" applyBorder="1" applyAlignment="1">
      <alignment horizontal="center" vertical="center" wrapText="1"/>
    </xf>
    <xf numFmtId="2" fontId="6" fillId="7" borderId="3" xfId="3" applyNumberFormat="1" applyFont="1" applyFill="1" applyBorder="1" applyAlignment="1">
      <alignment horizontal="center" vertical="center" wrapText="1"/>
    </xf>
    <xf numFmtId="166" fontId="6" fillId="7" borderId="0" xfId="3" applyNumberFormat="1" applyFont="1" applyFill="1" applyBorder="1" applyAlignment="1">
      <alignment horizontal="center" vertical="center" wrapText="1"/>
    </xf>
    <xf numFmtId="49" fontId="7" fillId="0" borderId="80" xfId="0" applyNumberFormat="1" applyFont="1" applyBorder="1" applyAlignment="1">
      <alignment horizontal="center" vertical="center"/>
    </xf>
    <xf numFmtId="49" fontId="7" fillId="0" borderId="85" xfId="0" applyNumberFormat="1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44" xfId="0" applyFont="1" applyBorder="1" applyAlignment="1">
      <alignment horizontal="left" vertical="center" wrapText="1"/>
    </xf>
    <xf numFmtId="166" fontId="7" fillId="0" borderId="2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6" fillId="6" borderId="86" xfId="3" applyNumberFormat="1" applyFont="1" applyFill="1" applyBorder="1" applyAlignment="1">
      <alignment horizontal="center" vertical="center"/>
    </xf>
    <xf numFmtId="164" fontId="4" fillId="4" borderId="70" xfId="3" applyNumberFormat="1" applyFont="1" applyFill="1" applyBorder="1" applyAlignment="1">
      <alignment horizontal="center" vertical="center" wrapText="1"/>
    </xf>
    <xf numFmtId="166" fontId="6" fillId="6" borderId="86" xfId="2" applyNumberFormat="1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 wrapText="1"/>
    </xf>
    <xf numFmtId="9" fontId="6" fillId="7" borderId="64" xfId="4" applyNumberFormat="1" applyFont="1" applyFill="1" applyBorder="1" applyAlignment="1">
      <alignment horizontal="center" vertical="center" wrapText="1"/>
    </xf>
    <xf numFmtId="9" fontId="6" fillId="7" borderId="3" xfId="4" applyNumberFormat="1" applyFont="1" applyFill="1" applyBorder="1" applyAlignment="1">
      <alignment horizontal="center" vertical="center" wrapText="1"/>
    </xf>
    <xf numFmtId="49" fontId="20" fillId="0" borderId="45" xfId="0" applyNumberFormat="1" applyFont="1" applyBorder="1" applyAlignment="1">
      <alignment horizontal="center" vertical="center"/>
    </xf>
    <xf numFmtId="49" fontId="20" fillId="0" borderId="49" xfId="0" applyNumberFormat="1" applyFont="1" applyBorder="1" applyAlignment="1">
      <alignment horizontal="center" vertical="center"/>
    </xf>
    <xf numFmtId="0" fontId="6" fillId="0" borderId="44" xfId="3" applyNumberFormat="1" applyFont="1" applyFill="1" applyBorder="1" applyAlignment="1">
      <alignment horizontal="left" vertical="center" wrapText="1"/>
    </xf>
    <xf numFmtId="0" fontId="6" fillId="0" borderId="32" xfId="3" applyNumberFormat="1" applyFont="1" applyFill="1" applyBorder="1" applyAlignment="1">
      <alignment horizontal="left" vertical="center" wrapText="1"/>
    </xf>
    <xf numFmtId="0" fontId="6" fillId="0" borderId="61" xfId="3" applyNumberFormat="1" applyFont="1" applyFill="1" applyBorder="1" applyAlignment="1">
      <alignment horizontal="left" vertical="center" wrapText="1"/>
    </xf>
    <xf numFmtId="0" fontId="7" fillId="0" borderId="87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7" borderId="9" xfId="3" applyFont="1" applyFill="1" applyBorder="1" applyAlignment="1">
      <alignment horizontal="center" vertical="center" wrapText="1"/>
    </xf>
    <xf numFmtId="0" fontId="7" fillId="7" borderId="19" xfId="3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53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0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top" wrapText="1"/>
    </xf>
    <xf numFmtId="0" fontId="0" fillId="2" borderId="56" xfId="0" applyFill="1" applyBorder="1" applyAlignment="1">
      <alignment horizontal="center" vertical="top" wrapText="1"/>
    </xf>
    <xf numFmtId="0" fontId="16" fillId="8" borderId="47" xfId="3" applyNumberFormat="1" applyFont="1" applyFill="1" applyBorder="1" applyAlignment="1">
      <alignment horizontal="center" vertical="center" wrapText="1"/>
    </xf>
    <xf numFmtId="0" fontId="16" fillId="8" borderId="62" xfId="3" applyNumberFormat="1" applyFont="1" applyFill="1" applyBorder="1" applyAlignment="1">
      <alignment horizontal="center" vertical="center" wrapText="1"/>
    </xf>
    <xf numFmtId="0" fontId="16" fillId="8" borderId="51" xfId="3" applyNumberFormat="1" applyFont="1" applyFill="1" applyBorder="1" applyAlignment="1">
      <alignment horizontal="center" vertical="center" wrapText="1"/>
    </xf>
    <xf numFmtId="49" fontId="8" fillId="0" borderId="46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top"/>
    </xf>
    <xf numFmtId="0" fontId="0" fillId="2" borderId="56" xfId="0" applyFont="1" applyFill="1" applyBorder="1" applyAlignment="1">
      <alignment horizontal="center" vertical="top"/>
    </xf>
    <xf numFmtId="0" fontId="16" fillId="8" borderId="73" xfId="3" applyNumberFormat="1" applyFont="1" applyFill="1" applyBorder="1" applyAlignment="1">
      <alignment horizontal="center" vertical="center" wrapText="1"/>
    </xf>
    <xf numFmtId="49" fontId="20" fillId="0" borderId="46" xfId="0" applyNumberFormat="1" applyFont="1" applyBorder="1" applyAlignment="1">
      <alignment horizontal="center" vertical="center"/>
    </xf>
    <xf numFmtId="49" fontId="20" fillId="0" borderId="45" xfId="0" applyNumberFormat="1" applyFont="1" applyBorder="1" applyAlignment="1">
      <alignment horizontal="center" vertical="center"/>
    </xf>
    <xf numFmtId="49" fontId="20" fillId="0" borderId="4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2" fillId="0" borderId="55" xfId="0" applyFont="1" applyBorder="1" applyAlignment="1">
      <alignment horizontal="center" vertical="top" wrapText="1"/>
    </xf>
    <xf numFmtId="49" fontId="8" fillId="0" borderId="59" xfId="0" applyNumberFormat="1" applyFont="1" applyBorder="1" applyAlignment="1">
      <alignment horizontal="center" vertical="center"/>
    </xf>
    <xf numFmtId="49" fontId="8" fillId="0" borderId="78" xfId="0" applyNumberFormat="1" applyFont="1" applyBorder="1" applyAlignment="1">
      <alignment horizontal="center" vertical="center"/>
    </xf>
    <xf numFmtId="49" fontId="8" fillId="0" borderId="79" xfId="0" applyNumberFormat="1" applyFont="1" applyBorder="1" applyAlignment="1">
      <alignment horizontal="center" vertical="center"/>
    </xf>
    <xf numFmtId="49" fontId="8" fillId="0" borderId="8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49" fontId="20" fillId="0" borderId="46" xfId="0" applyNumberFormat="1" applyFont="1" applyBorder="1" applyAlignment="1">
      <alignment horizontal="center" vertical="center" wrapText="1"/>
    </xf>
    <xf numFmtId="49" fontId="20" fillId="0" borderId="45" xfId="0" applyNumberFormat="1" applyFont="1" applyBorder="1" applyAlignment="1">
      <alignment horizontal="center" vertical="center" wrapText="1"/>
    </xf>
    <xf numFmtId="49" fontId="20" fillId="0" borderId="49" xfId="0" applyNumberFormat="1" applyFont="1" applyBorder="1" applyAlignment="1">
      <alignment horizontal="center" vertical="center" wrapText="1"/>
    </xf>
    <xf numFmtId="0" fontId="3" fillId="2" borderId="0" xfId="3" applyNumberFormat="1" applyFont="1" applyFill="1" applyAlignment="1">
      <alignment horizontal="center" vertical="center" wrapText="1"/>
    </xf>
    <xf numFmtId="0" fontId="3" fillId="2" borderId="55" xfId="3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top"/>
    </xf>
    <xf numFmtId="0" fontId="0" fillId="2" borderId="55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6" fillId="8" borderId="75" xfId="3" applyNumberFormat="1" applyFont="1" applyFill="1" applyBorder="1" applyAlignment="1">
      <alignment horizontal="center" vertical="top" wrapText="1"/>
    </xf>
    <xf numFmtId="0" fontId="16" fillId="8" borderId="76" xfId="3" applyNumberFormat="1" applyFont="1" applyFill="1" applyBorder="1" applyAlignment="1">
      <alignment horizontal="center" vertical="top" wrapText="1"/>
    </xf>
    <xf numFmtId="0" fontId="16" fillId="8" borderId="77" xfId="3" applyNumberFormat="1" applyFont="1" applyFill="1" applyBorder="1" applyAlignment="1">
      <alignment horizontal="center" vertical="top" wrapText="1"/>
    </xf>
    <xf numFmtId="0" fontId="22" fillId="2" borderId="0" xfId="3" applyNumberFormat="1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6" fillId="8" borderId="22" xfId="3" applyNumberFormat="1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top"/>
    </xf>
    <xf numFmtId="0" fontId="19" fillId="2" borderId="56" xfId="0" applyFont="1" applyFill="1" applyBorder="1" applyAlignment="1">
      <alignment horizontal="center" vertical="top"/>
    </xf>
  </cellXfs>
  <cellStyles count="5">
    <cellStyle name="Обычный" xfId="0" builtinId="0"/>
    <cellStyle name="Обычный 2" xfId="3"/>
    <cellStyle name="Процентный" xfId="1" builtinId="5"/>
    <cellStyle name="Финансовый" xfId="4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190501</xdr:rowOff>
    </xdr:from>
    <xdr:to>
      <xdr:col>1</xdr:col>
      <xdr:colOff>1409153</xdr:colOff>
      <xdr:row>6</xdr:row>
      <xdr:rowOff>57151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0501"/>
          <a:ext cx="1483282" cy="1059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133350</xdr:rowOff>
    </xdr:from>
    <xdr:to>
      <xdr:col>1</xdr:col>
      <xdr:colOff>1456778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48535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1</xdr:col>
      <xdr:colOff>1437728</xdr:colOff>
      <xdr:row>6</xdr:row>
      <xdr:rowOff>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80975"/>
          <a:ext cx="148535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123825</xdr:rowOff>
    </xdr:from>
    <xdr:to>
      <xdr:col>1</xdr:col>
      <xdr:colOff>1485353</xdr:colOff>
      <xdr:row>5</xdr:row>
      <xdr:rowOff>228600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3825"/>
          <a:ext cx="148535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1475828</xdr:colOff>
      <xdr:row>5</xdr:row>
      <xdr:rowOff>247650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52400"/>
          <a:ext cx="148535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28575</xdr:rowOff>
    </xdr:from>
    <xdr:to>
      <xdr:col>1</xdr:col>
      <xdr:colOff>1428203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32682"/>
          <a:ext cx="1492157" cy="1079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152400</xdr:rowOff>
    </xdr:from>
    <xdr:to>
      <xdr:col>1</xdr:col>
      <xdr:colOff>1440449</xdr:colOff>
      <xdr:row>6</xdr:row>
      <xdr:rowOff>76200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52400"/>
          <a:ext cx="1492556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133350</xdr:rowOff>
    </xdr:from>
    <xdr:to>
      <xdr:col>1</xdr:col>
      <xdr:colOff>1456778</xdr:colOff>
      <xdr:row>6</xdr:row>
      <xdr:rowOff>57150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48535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66675</xdr:rowOff>
    </xdr:from>
    <xdr:to>
      <xdr:col>1</xdr:col>
      <xdr:colOff>1390103</xdr:colOff>
      <xdr:row>6</xdr:row>
      <xdr:rowOff>9525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6675"/>
          <a:ext cx="148535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1</xdr:col>
      <xdr:colOff>1247228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1488154" cy="107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2;&#1081;&#1089;-&#1083;&#1080;&#1089;&#1090;%20&#1058;&#1057;&#1057;%20-%20&#1074;&#1077;&#1088;&#1089;&#1080;&#1103;%20&#1076;&#1083;&#1103;%20&#1087;&#1072;&#1088;&#1090;&#1085;&#1077;&#1088;&#1086;&#1074;%20&#1089;%20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kita/Desktop/&#1055;&#1088;&#1072;&#1081;&#1089;/01.09%20&#1080;&#1079;&#1084;&#1077;&#1085;&#1077;&#1085;&#1080;&#1077;%20&#1094;&#1077;&#1085;%20&#1085;&#1072;%20&#1040;&#1052;%20&#8212;%20&#1048;&#1079;&#1084;&#1077;&#1085;&#1077;&#1085;&#1099;%20&#1085;&#1072;&#1079;&#1074;&#1072;&#1085;&#1080;&#1103;%20&#1058;&#1055;/&#1055;&#1088;&#1086;&#1077;&#1082;&#1090;%20&#1055;&#1088;&#1072;&#1080;&#774;&#1089;-&#1083;&#1080;&#1089;&#1090;%20&#1058;&#1057;&#1057;%20-&#1086;&#1090;&#1082;&#1088;&#1099;&#1090;&#1072;&#1103;%20&#1074;&#1077;&#1088;&#1089;&#1080;&#1103;%20&#1089;%2001.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kita/Desktop/&#1055;&#1088;&#1072;&#1081;&#1089;/&#1055;&#1088;&#1072;&#1081;&#1089;%20&#1089;%2001.21/&#1055;&#1088;&#1086;&#1077;&#1082;&#1090;%20&#1055;&#1088;&#1072;&#1080;&#774;&#1089;-&#1083;&#1080;&#1089;&#1090;%20&#1058;&#1057;&#1057;%20-&#1086;&#1090;&#1082;&#1088;&#1099;&#1090;&#1072;&#1103;%20&#1074;&#1077;&#1088;&#1089;&#1080;&#1103;%20&#1089;%2001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 ACS"/>
      <sheetName val="Diamond VPN FW - UTM"/>
      <sheetName val="Diamond VPN FW - VPN"/>
      <sheetName val="Diamond VPN FW - FW"/>
      <sheetName val="Diamond VPN FW - IDS"/>
      <sheetName val="Diamond NCC"/>
      <sheetName val="Dcrypt"/>
      <sheetName val="Модули расширений"/>
      <sheetName val="Базы IDS"/>
      <sheetName val="Услуги"/>
    </sheetNames>
    <sheetDataSet>
      <sheetData sheetId="0"/>
      <sheetData sheetId="1">
        <row r="15">
          <cell r="C15" t="str">
            <v>BF-2-025</v>
          </cell>
        </row>
        <row r="22">
          <cell r="C22" t="str">
            <v>BF-2-028</v>
          </cell>
        </row>
        <row r="29">
          <cell r="C29" t="str">
            <v>BF-2-031</v>
          </cell>
        </row>
        <row r="36">
          <cell r="C36" t="str">
            <v>BF-2-035</v>
          </cell>
        </row>
        <row r="43">
          <cell r="C43" t="str">
            <v>BF-2-036</v>
          </cell>
        </row>
        <row r="50">
          <cell r="C50" t="str">
            <v>BF-2-040</v>
          </cell>
        </row>
        <row r="57">
          <cell r="C57" t="str">
            <v>BF-2-045</v>
          </cell>
        </row>
        <row r="85">
          <cell r="C85" t="str">
            <v>BF-2-048</v>
          </cell>
        </row>
        <row r="92">
          <cell r="C92" t="str">
            <v>BF-2-053</v>
          </cell>
        </row>
        <row r="99">
          <cell r="C99" t="str">
            <v>BF-2-059</v>
          </cell>
        </row>
        <row r="106">
          <cell r="C106" t="str">
            <v>BF-2-067</v>
          </cell>
        </row>
        <row r="113">
          <cell r="C113" t="str">
            <v>BF-2-068</v>
          </cell>
        </row>
      </sheetData>
      <sheetData sheetId="2">
        <row r="105">
          <cell r="C105" t="str">
            <v>BF-2-048</v>
          </cell>
        </row>
        <row r="112">
          <cell r="C112" t="str">
            <v>BF-2-053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 ACS"/>
      <sheetName val="Diamond VPN FW - UTM"/>
      <sheetName val="Diamond VPN FW - VPN"/>
      <sheetName val="Diamond VPN FW - FW"/>
      <sheetName val="Diamond VPN FW - IDS"/>
      <sheetName val="Diamond NCC"/>
      <sheetName val="Dcrypt"/>
      <sheetName val="Модули расширений"/>
      <sheetName val="Базы IDS"/>
      <sheetName val="Услуги"/>
    </sheetNames>
    <sheetDataSet>
      <sheetData sheetId="0"/>
      <sheetData sheetId="1">
        <row r="6">
          <cell r="B6">
            <v>0</v>
          </cell>
        </row>
        <row r="15">
          <cell r="C15" t="str">
            <v>BF-2-022</v>
          </cell>
        </row>
        <row r="22">
          <cell r="C22" t="str">
            <v>BF-2-025</v>
          </cell>
        </row>
        <row r="29">
          <cell r="C29" t="str">
            <v>BF-2-028</v>
          </cell>
        </row>
        <row r="36">
          <cell r="C36" t="str">
            <v>BF-2-031</v>
          </cell>
        </row>
        <row r="43">
          <cell r="C43" t="str">
            <v>BF-2-035</v>
          </cell>
        </row>
        <row r="50">
          <cell r="C50" t="str">
            <v>BF-2-036</v>
          </cell>
        </row>
        <row r="57">
          <cell r="C57" t="str">
            <v>BF-2-040</v>
          </cell>
        </row>
      </sheetData>
      <sheetData sheetId="2"/>
      <sheetData sheetId="3">
        <row r="78">
          <cell r="D78">
            <v>558000</v>
          </cell>
        </row>
      </sheetData>
      <sheetData sheetId="4">
        <row r="89">
          <cell r="D89">
            <v>2222768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 ACS"/>
      <sheetName val="Diamond VPN FW - UTM"/>
      <sheetName val="Diamond VPN FW - VPN"/>
      <sheetName val="Diamond VPN FW - FW"/>
      <sheetName val="Diamond VPN FW - IDS"/>
      <sheetName val="Diamond NCC"/>
      <sheetName val="Dcrypt"/>
      <sheetName val="Модули расширений"/>
      <sheetName val="Базы IDS"/>
      <sheetName val="Услуги"/>
    </sheetNames>
    <sheetDataSet>
      <sheetData sheetId="0"/>
      <sheetData sheetId="1">
        <row r="62">
          <cell r="B62" t="str">
    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- 5111. Версия UTM»</v>
          </cell>
        </row>
        <row r="71">
          <cell r="C71" t="str">
            <v>BF-2-093</v>
          </cell>
        </row>
        <row r="78">
          <cell r="C78" t="str">
            <v>BF-2-094</v>
          </cell>
        </row>
        <row r="85">
          <cell r="C85" t="str">
            <v>BF-2-095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88"/>
  <sheetViews>
    <sheetView showGridLines="0" showRowColHeaders="0" zoomScale="70" zoomScaleNormal="70" workbookViewId="0">
      <pane xSplit="9" ySplit="8" topLeftCell="J9" activePane="bottomRight" state="frozen"/>
      <selection pane="topRight" activeCell="J1" sqref="J1"/>
      <selection pane="bottomLeft" activeCell="A9" sqref="A9"/>
      <selection pane="bottomRight" activeCell="B20" sqref="B20"/>
    </sheetView>
  </sheetViews>
  <sheetFormatPr defaultRowHeight="15" outlineLevelRow="1" x14ac:dyDescent="0.25"/>
  <cols>
    <col min="1" max="1" width="5" customWidth="1"/>
    <col min="2" max="2" width="100.7109375" customWidth="1"/>
    <col min="3" max="3" width="12.140625" customWidth="1"/>
    <col min="4" max="7" width="15.7109375" customWidth="1"/>
    <col min="8" max="8" width="11.42578125" customWidth="1"/>
    <col min="9" max="9" width="79.7109375" customWidth="1"/>
    <col min="10" max="10" width="15.85546875" customWidth="1"/>
    <col min="11" max="11" width="14" customWidth="1"/>
    <col min="12" max="12" width="57.5703125" customWidth="1"/>
  </cols>
  <sheetData>
    <row r="1" spans="1:17" ht="15.75" customHeight="1" x14ac:dyDescent="0.25">
      <c r="A1" s="439" t="s">
        <v>1683</v>
      </c>
      <c r="B1" s="439"/>
      <c r="C1" s="439"/>
      <c r="D1" s="439"/>
      <c r="E1" s="439"/>
      <c r="F1" s="439"/>
      <c r="G1" s="440"/>
      <c r="H1" s="435" t="s">
        <v>40</v>
      </c>
      <c r="I1" s="436"/>
      <c r="O1" s="87" t="s">
        <v>1026</v>
      </c>
    </row>
    <row r="2" spans="1:17" ht="15.75" customHeight="1" x14ac:dyDescent="0.25">
      <c r="A2" s="439"/>
      <c r="B2" s="439"/>
      <c r="C2" s="439"/>
      <c r="D2" s="439"/>
      <c r="E2" s="439"/>
      <c r="F2" s="439"/>
      <c r="G2" s="440"/>
      <c r="H2" s="435"/>
      <c r="I2" s="436"/>
      <c r="O2" s="189" t="s">
        <v>1027</v>
      </c>
    </row>
    <row r="3" spans="1:17" ht="15.75" customHeight="1" x14ac:dyDescent="0.25">
      <c r="A3" s="439"/>
      <c r="B3" s="439"/>
      <c r="C3" s="439"/>
      <c r="D3" s="439"/>
      <c r="E3" s="439"/>
      <c r="F3" s="439"/>
      <c r="G3" s="440"/>
      <c r="H3" s="435"/>
      <c r="I3" s="436"/>
      <c r="O3" s="189" t="s">
        <v>1028</v>
      </c>
    </row>
    <row r="4" spans="1:17" ht="15.75" customHeight="1" x14ac:dyDescent="0.25">
      <c r="A4" s="439"/>
      <c r="B4" s="439"/>
      <c r="C4" s="439"/>
      <c r="D4" s="439"/>
      <c r="E4" s="439"/>
      <c r="F4" s="439"/>
      <c r="G4" s="440"/>
      <c r="H4" s="435"/>
      <c r="I4" s="436"/>
      <c r="O4" s="189" t="s">
        <v>1019</v>
      </c>
      <c r="Q4" s="189" t="s">
        <v>1019</v>
      </c>
    </row>
    <row r="5" spans="1:17" ht="15.75" customHeight="1" x14ac:dyDescent="0.25">
      <c r="A5" s="439"/>
      <c r="B5" s="439"/>
      <c r="C5" s="439"/>
      <c r="D5" s="439"/>
      <c r="E5" s="439"/>
      <c r="F5" s="439"/>
      <c r="G5" s="440"/>
      <c r="H5" s="435"/>
      <c r="I5" s="436"/>
    </row>
    <row r="6" spans="1:17" ht="15.75" customHeight="1" x14ac:dyDescent="0.25">
      <c r="A6" s="439"/>
      <c r="B6" s="439"/>
      <c r="C6" s="439"/>
      <c r="D6" s="439"/>
      <c r="E6" s="439"/>
      <c r="F6" s="439"/>
      <c r="G6" s="440"/>
      <c r="H6" s="435"/>
      <c r="I6" s="436"/>
    </row>
    <row r="7" spans="1:17" ht="16.5" customHeight="1" thickBot="1" x14ac:dyDescent="0.3">
      <c r="A7" s="441" t="s">
        <v>1679</v>
      </c>
      <c r="B7" s="441"/>
      <c r="C7" s="441"/>
      <c r="D7" s="441"/>
      <c r="E7" s="441"/>
      <c r="F7" s="441"/>
      <c r="G7" s="442"/>
      <c r="H7" s="437"/>
      <c r="I7" s="438"/>
    </row>
    <row r="8" spans="1:17" ht="26.25" thickBot="1" x14ac:dyDescent="0.3">
      <c r="A8" s="25" t="s">
        <v>13</v>
      </c>
      <c r="B8" s="1" t="s">
        <v>0</v>
      </c>
      <c r="C8" s="2" t="s">
        <v>1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3</v>
      </c>
      <c r="I8" s="3" t="s">
        <v>828</v>
      </c>
    </row>
    <row r="9" spans="1:17" ht="39" customHeight="1" thickTop="1" thickBot="1" x14ac:dyDescent="0.3">
      <c r="A9" s="64"/>
      <c r="B9" s="443" t="s">
        <v>1499</v>
      </c>
      <c r="C9" s="444"/>
      <c r="D9" s="444"/>
      <c r="E9" s="444"/>
      <c r="F9" s="444"/>
      <c r="G9" s="444"/>
      <c r="H9" s="444"/>
      <c r="I9" s="445"/>
    </row>
    <row r="10" spans="1:17" ht="31.5" customHeight="1" thickTop="1" thickBot="1" x14ac:dyDescent="0.3">
      <c r="A10" s="69"/>
      <c r="B10" s="65" t="s">
        <v>1344</v>
      </c>
      <c r="C10" s="7"/>
      <c r="D10" s="8"/>
      <c r="E10" s="17"/>
      <c r="F10" s="17"/>
      <c r="G10" s="17"/>
      <c r="H10" s="8"/>
      <c r="I10" s="61"/>
    </row>
    <row r="11" spans="1:17" ht="28.5" customHeight="1" thickBot="1" x14ac:dyDescent="0.3">
      <c r="A11" s="70">
        <v>1</v>
      </c>
      <c r="B11" s="157" t="s">
        <v>1322</v>
      </c>
      <c r="C11" s="158" t="s">
        <v>47</v>
      </c>
      <c r="D11" s="154">
        <f>ROUNDUP(D15/2,0)</f>
        <v>3796</v>
      </c>
      <c r="E11" s="154">
        <f>ROUNDUP(D11*0.76,0)</f>
        <v>2885</v>
      </c>
      <c r="F11" s="154">
        <f>ROUNDUP(E11*0.76,0)</f>
        <v>2193</v>
      </c>
      <c r="G11" s="154">
        <f>ROUNDUP(F11*0.76,0)</f>
        <v>1667</v>
      </c>
      <c r="H11" s="258" t="s">
        <v>4</v>
      </c>
      <c r="I11" s="53" t="s">
        <v>1321</v>
      </c>
    </row>
    <row r="12" spans="1:17" ht="39.75" customHeight="1" outlineLevel="1" thickBot="1" x14ac:dyDescent="0.3">
      <c r="A12" s="70">
        <v>2</v>
      </c>
      <c r="B12" s="237" t="str">
        <f>CONCATENATE(O1,B11,Q4)</f>
        <v>Сертификат активации сервиса прямой технической поддержки  уровня "Стандартный" на 1 год для: «Лицензия на право использования системы контроля и разграничения доступа «Diamond ACS» на автономной рабочей станции. За 1 клиента на 1 год»</v>
      </c>
      <c r="C12" s="230" t="s">
        <v>105</v>
      </c>
      <c r="D12" s="231">
        <f>ROUNDUP(D11*0.2,0)</f>
        <v>760</v>
      </c>
      <c r="E12" s="238">
        <f>ROUNDUP(E11*0.2,0)</f>
        <v>577</v>
      </c>
      <c r="F12" s="238">
        <f>ROUNDUP(F11*0.2,0)</f>
        <v>439</v>
      </c>
      <c r="G12" s="238">
        <f>ROUNDUP(G11*0.2,0)</f>
        <v>334</v>
      </c>
      <c r="H12" s="88">
        <v>0.2</v>
      </c>
      <c r="I12" s="232"/>
    </row>
    <row r="13" spans="1:17" ht="28.5" customHeight="1" outlineLevel="1" thickBot="1" x14ac:dyDescent="0.3">
      <c r="A13" s="70">
        <v>3</v>
      </c>
      <c r="B13" s="165" t="s">
        <v>43</v>
      </c>
      <c r="C13" s="163" t="s">
        <v>146</v>
      </c>
      <c r="D13" s="154">
        <f>ROUNDUP(D18/2,0)</f>
        <v>2548</v>
      </c>
      <c r="E13" s="154">
        <f>ROUNDUP(D13*0.76,0)</f>
        <v>1937</v>
      </c>
      <c r="F13" s="154">
        <f>ROUNDUP(E13*0.76,0)</f>
        <v>1473</v>
      </c>
      <c r="G13" s="154">
        <f>ROUNDUP(F13*0.76,0)</f>
        <v>1120</v>
      </c>
      <c r="H13" s="162" t="s">
        <v>4</v>
      </c>
      <c r="I13" s="53"/>
    </row>
    <row r="14" spans="1:17" ht="25.5" customHeight="1" outlineLevel="1" thickBot="1" x14ac:dyDescent="0.3">
      <c r="A14" s="70">
        <v>4</v>
      </c>
      <c r="B14" s="229" t="str">
        <f>CONCATENATE(O1,B13,Q4)</f>
        <v>Сертификат активации сервиса прямой технической поддержки  уровня "Стандартный" на 1 год для: «Лицензия на право использования консоли администрирования «Diamond ACS Management» на 1 год»</v>
      </c>
      <c r="C14" s="230" t="s">
        <v>106</v>
      </c>
      <c r="D14" s="231">
        <f>ROUNDUP(D13*0.2,0)</f>
        <v>510</v>
      </c>
      <c r="E14" s="231">
        <f>ROUNDUP(E13*0.2,0)</f>
        <v>388</v>
      </c>
      <c r="F14" s="231">
        <f>ROUNDUP(F13*0.2,0)</f>
        <v>295</v>
      </c>
      <c r="G14" s="231">
        <f>ROUNDUP(G13*0.2,0)</f>
        <v>224</v>
      </c>
      <c r="H14" s="88">
        <v>0.2</v>
      </c>
      <c r="I14" s="232"/>
    </row>
    <row r="15" spans="1:17" ht="28.5" customHeight="1" thickBot="1" x14ac:dyDescent="0.3">
      <c r="A15" s="70">
        <v>5</v>
      </c>
      <c r="B15" s="157" t="s">
        <v>1323</v>
      </c>
      <c r="C15" s="158" t="s">
        <v>98</v>
      </c>
      <c r="D15" s="154">
        <f>ROUNDUP(7300*1.04,0)</f>
        <v>7592</v>
      </c>
      <c r="E15" s="154">
        <f>ROUNDUP(D15*0.76,0)</f>
        <v>5770</v>
      </c>
      <c r="F15" s="154">
        <f>ROUNDUP(E15*0.76,0)</f>
        <v>4386</v>
      </c>
      <c r="G15" s="154">
        <f>ROUNDUP(F15*0.76,0)</f>
        <v>3334</v>
      </c>
      <c r="H15" s="159" t="s">
        <v>4</v>
      </c>
      <c r="I15" s="53" t="s">
        <v>1321</v>
      </c>
    </row>
    <row r="16" spans="1:17" ht="39.75" customHeight="1" outlineLevel="1" thickBot="1" x14ac:dyDescent="0.3">
      <c r="A16" s="70">
        <v>6</v>
      </c>
      <c r="B16" s="84" t="str">
        <f>CONCATENATE(O1,B15,Q4)</f>
        <v>Сертификат активации сервиса прямой технической поддержки  уровня "Стандартный" на 1 год для: «Лицензия на право использования системы контроля и разграничения доступа «Diamond ACS» на автономной рабочей станции. За 1 клиента на 3 года»</v>
      </c>
      <c r="C16" s="233" t="s">
        <v>107</v>
      </c>
      <c r="D16" s="231">
        <f>ROUNDUP(D15*0.2,0)</f>
        <v>1519</v>
      </c>
      <c r="E16" s="231">
        <f>ROUNDUP(E15*0.2,0)</f>
        <v>1154</v>
      </c>
      <c r="F16" s="231">
        <f>ROUNDUP(F15*0.2,0)</f>
        <v>878</v>
      </c>
      <c r="G16" s="231">
        <f>ROUNDUP(G15*0.2,0)</f>
        <v>667</v>
      </c>
      <c r="H16" s="88">
        <v>0.2</v>
      </c>
      <c r="I16" s="234"/>
    </row>
    <row r="17" spans="1:9" ht="39.75" customHeight="1" outlineLevel="1" thickBot="1" x14ac:dyDescent="0.3">
      <c r="A17" s="70">
        <v>7</v>
      </c>
      <c r="B17" s="84" t="str">
        <f>CONCATENATE(O2,B15,Q4)</f>
        <v>Сертификат активации сервиса прямой технической поддержки  уровня "Стандартный" на 3 года для: «Лицензия на право использования системы контроля и разграничения доступа «Diamond ACS» на автономной рабочей станции. За 1 клиента на 3 года»</v>
      </c>
      <c r="C17" s="233" t="s">
        <v>614</v>
      </c>
      <c r="D17" s="231">
        <f>ROUNDUP(D16*0.97*3,0)</f>
        <v>4421</v>
      </c>
      <c r="E17" s="231">
        <f>ROUNDUP(E16*0.97*3,0)</f>
        <v>3359</v>
      </c>
      <c r="F17" s="231">
        <f>ROUNDUP(F16*0.97*3,0)</f>
        <v>2555</v>
      </c>
      <c r="G17" s="231">
        <f>ROUNDUP(G16*0.97*3,0)</f>
        <v>1941</v>
      </c>
      <c r="H17" s="88">
        <v>0.2</v>
      </c>
      <c r="I17" s="234"/>
    </row>
    <row r="18" spans="1:9" ht="28.5" customHeight="1" outlineLevel="1" thickBot="1" x14ac:dyDescent="0.3">
      <c r="A18" s="70">
        <v>8</v>
      </c>
      <c r="B18" s="165" t="s">
        <v>1319</v>
      </c>
      <c r="C18" s="163" t="s">
        <v>147</v>
      </c>
      <c r="D18" s="154">
        <f>ROUNDUP(4900*1.04,0)</f>
        <v>5096</v>
      </c>
      <c r="E18" s="154">
        <f>ROUNDUP(D18*0.76,0)</f>
        <v>3873</v>
      </c>
      <c r="F18" s="154">
        <f>ROUNDUP(E18*0.76,0)</f>
        <v>2944</v>
      </c>
      <c r="G18" s="154">
        <f>ROUNDUP(F18*0.76,0)</f>
        <v>2238</v>
      </c>
      <c r="H18" s="162" t="s">
        <v>4</v>
      </c>
      <c r="I18" s="53"/>
    </row>
    <row r="19" spans="1:9" ht="25.5" customHeight="1" outlineLevel="1" thickBot="1" x14ac:dyDescent="0.3">
      <c r="A19" s="70">
        <v>9</v>
      </c>
      <c r="B19" s="229" t="str">
        <f>CONCATENATE(O1,B18,Q4)</f>
        <v>Сертификат активации сервиса прямой технической поддержки  уровня "Стандартный" на 1 год для: «Лицензия на право использования консоли администрирования «Diamond ACS Management» на 3 года»</v>
      </c>
      <c r="C19" s="233" t="s">
        <v>112</v>
      </c>
      <c r="D19" s="231">
        <f>ROUNDUP(D18*0.2,0)</f>
        <v>1020</v>
      </c>
      <c r="E19" s="231">
        <f>ROUNDUP(E18*0.2,0)</f>
        <v>775</v>
      </c>
      <c r="F19" s="231">
        <f>ROUNDUP(F18*0.2,0)</f>
        <v>589</v>
      </c>
      <c r="G19" s="231">
        <f>ROUNDUP(G18*0.2,0)</f>
        <v>448</v>
      </c>
      <c r="H19" s="236" t="s">
        <v>450</v>
      </c>
      <c r="I19" s="232"/>
    </row>
    <row r="20" spans="1:9" ht="25.5" customHeight="1" outlineLevel="1" thickBot="1" x14ac:dyDescent="0.3">
      <c r="A20" s="70">
        <v>10</v>
      </c>
      <c r="B20" s="229" t="str">
        <f>CONCATENATE(O2,B18,Q4)</f>
        <v>Сертификат активации сервиса прямой технической поддержки  уровня "Стандартный" на 3 года для: «Лицензия на право использования консоли администрирования «Diamond ACS Management» на 3 года»</v>
      </c>
      <c r="C20" s="233" t="s">
        <v>615</v>
      </c>
      <c r="D20" s="231">
        <f>ROUNDUP(D19*0.97*3,0)</f>
        <v>2969</v>
      </c>
      <c r="E20" s="231">
        <f>ROUNDUP(E19*0.97*3,0)</f>
        <v>2256</v>
      </c>
      <c r="F20" s="231">
        <f>ROUNDUP(F19*0.97*3,0)</f>
        <v>1714</v>
      </c>
      <c r="G20" s="231">
        <f>ROUNDUP(G19*0.97*3,0)</f>
        <v>1304</v>
      </c>
      <c r="H20" s="236" t="s">
        <v>450</v>
      </c>
      <c r="I20" s="232"/>
    </row>
    <row r="21" spans="1:9" ht="28.5" customHeight="1" thickBot="1" x14ac:dyDescent="0.3">
      <c r="A21" s="70">
        <v>11</v>
      </c>
      <c r="B21" s="157" t="s">
        <v>1324</v>
      </c>
      <c r="C21" s="158" t="s">
        <v>99</v>
      </c>
      <c r="D21" s="154">
        <f>ROUNDUP(D15*1.5,0)</f>
        <v>11388</v>
      </c>
      <c r="E21" s="154">
        <f>ROUNDUP(D21*0.76,0)</f>
        <v>8655</v>
      </c>
      <c r="F21" s="154">
        <f>ROUNDUP(E21*0.76,0)</f>
        <v>6578</v>
      </c>
      <c r="G21" s="154">
        <f>ROUNDUP(F21*0.76,0)</f>
        <v>5000</v>
      </c>
      <c r="H21" s="159" t="s">
        <v>4</v>
      </c>
      <c r="I21" s="53" t="s">
        <v>1321</v>
      </c>
    </row>
    <row r="22" spans="1:9" ht="39.75" customHeight="1" outlineLevel="1" thickBot="1" x14ac:dyDescent="0.3">
      <c r="A22" s="70">
        <v>12</v>
      </c>
      <c r="B22" s="84" t="str">
        <f>CONCATENATE(O1,B21,Q4)</f>
        <v>Сертификат активации сервиса прямой технической поддержки  уровня "Стандартный" на 1 год для: «Лицензия на право использования системы контроля и разграничения доступа «Diamond ACS» на автономной рабочей станции. За 1 клиента бессрочно»</v>
      </c>
      <c r="C22" s="233" t="s">
        <v>118</v>
      </c>
      <c r="D22" s="231">
        <f>ROUNDUP(D21*0.2,0)</f>
        <v>2278</v>
      </c>
      <c r="E22" s="238">
        <f>ROUNDUP(E21*0.2,0)</f>
        <v>1731</v>
      </c>
      <c r="F22" s="238">
        <f>ROUNDUP(F21*0.2,0)</f>
        <v>1316</v>
      </c>
      <c r="G22" s="238">
        <f>ROUNDUP(G21*0.2,0)</f>
        <v>1000</v>
      </c>
      <c r="H22" s="88">
        <v>0.2</v>
      </c>
      <c r="I22" s="234"/>
    </row>
    <row r="23" spans="1:9" ht="39.75" customHeight="1" outlineLevel="1" thickBot="1" x14ac:dyDescent="0.3">
      <c r="A23" s="70">
        <v>13</v>
      </c>
      <c r="B23" s="84" t="str">
        <f>CONCATENATE(O2,B21,Q4)</f>
        <v>Сертификат активации сервиса прямой технической поддержки  уровня "Стандартный" на 3 года для: «Лицензия на право использования системы контроля и разграничения доступа «Diamond ACS» на автономной рабочей станции. За 1 клиента бессрочно»</v>
      </c>
      <c r="C23" s="233" t="s">
        <v>616</v>
      </c>
      <c r="D23" s="231">
        <f>ROUNDUP(D22*0.97*3,0)</f>
        <v>6629</v>
      </c>
      <c r="E23" s="231">
        <f>ROUNDUP(E22*0.97*3,0)</f>
        <v>5038</v>
      </c>
      <c r="F23" s="231">
        <f>ROUNDUP(F22*0.97*3,0)</f>
        <v>3830</v>
      </c>
      <c r="G23" s="231">
        <f>ROUNDUP(G22*0.97*3,0)</f>
        <v>2910</v>
      </c>
      <c r="H23" s="88">
        <v>0.2</v>
      </c>
      <c r="I23" s="244"/>
    </row>
    <row r="24" spans="1:9" ht="39.75" customHeight="1" outlineLevel="1" thickBot="1" x14ac:dyDescent="0.3">
      <c r="A24" s="70">
        <v>14</v>
      </c>
      <c r="B24" s="84" t="str">
        <f>CONCATENATE(O3,B21,Q4)</f>
        <v>Сертификат активации сервиса прямой технической поддержки  уровня "Стандартный" на 5 лет для: «Лицензия на право использования системы контроля и разграничения доступа «Diamond ACS» на автономной рабочей станции. За 1 клиента бессрочно»</v>
      </c>
      <c r="C24" s="233" t="s">
        <v>617</v>
      </c>
      <c r="D24" s="231">
        <f>ROUNDUP(D22*0.95*5,0)</f>
        <v>10821</v>
      </c>
      <c r="E24" s="231">
        <f>ROUNDUP(E22*0.95*5,0)</f>
        <v>8223</v>
      </c>
      <c r="F24" s="231">
        <f>ROUNDUP(F22*0.95*5,0)</f>
        <v>6251</v>
      </c>
      <c r="G24" s="231">
        <f>ROUNDUP(G22*0.95*5,0)</f>
        <v>4750</v>
      </c>
      <c r="H24" s="88">
        <v>0.2</v>
      </c>
      <c r="I24" s="234"/>
    </row>
    <row r="25" spans="1:9" ht="28.5" customHeight="1" outlineLevel="1" thickBot="1" x14ac:dyDescent="0.3">
      <c r="A25" s="70">
        <v>15</v>
      </c>
      <c r="B25" s="242" t="s">
        <v>44</v>
      </c>
      <c r="C25" s="163" t="s">
        <v>148</v>
      </c>
      <c r="D25" s="259">
        <f>ROUNDUP(D18*1.5,0)</f>
        <v>7644</v>
      </c>
      <c r="E25" s="259">
        <f>ROUNDUP(D25*0.76,0)</f>
        <v>5810</v>
      </c>
      <c r="F25" s="259">
        <f>ROUNDUP(E25*0.76,0)</f>
        <v>4416</v>
      </c>
      <c r="G25" s="259">
        <f>ROUNDUP(F25*0.76,0)</f>
        <v>3357</v>
      </c>
      <c r="H25" s="260" t="s">
        <v>4</v>
      </c>
      <c r="I25" s="53"/>
    </row>
    <row r="26" spans="1:9" ht="25.5" customHeight="1" outlineLevel="1" thickBot="1" x14ac:dyDescent="0.3">
      <c r="A26" s="70">
        <v>16</v>
      </c>
      <c r="B26" s="245" t="str">
        <f>CONCATENATE(O1,B25,Q4)</f>
        <v>Сертификат активации сервиса прямой технической поддержки  уровня "Стандартный" на 1 год для: «Лицензия на право использования консоли администрирования «Diamond ACS Management». Бессрочно»</v>
      </c>
      <c r="C26" s="233" t="s">
        <v>119</v>
      </c>
      <c r="D26" s="238">
        <f>ROUNDUP(D25*0.2,0)</f>
        <v>1529</v>
      </c>
      <c r="E26" s="238">
        <f>ROUNDUP(E25*0.2,0)</f>
        <v>1162</v>
      </c>
      <c r="F26" s="238">
        <f>ROUNDUP(F25*0.2,0)</f>
        <v>884</v>
      </c>
      <c r="G26" s="238">
        <f>ROUNDUP(G25*0.2,0)</f>
        <v>672</v>
      </c>
      <c r="H26" s="211">
        <v>0.2</v>
      </c>
      <c r="I26" s="244"/>
    </row>
    <row r="27" spans="1:9" ht="25.5" customHeight="1" outlineLevel="1" thickBot="1" x14ac:dyDescent="0.3">
      <c r="A27" s="70">
        <v>17</v>
      </c>
      <c r="B27" s="235" t="str">
        <f>CONCATENATE(O2,B25,Q4)</f>
        <v>Сертификат активации сервиса прямой технической поддержки  уровня "Стандартный" на 3 года для: «Лицензия на право использования консоли администрирования «Diamond ACS Management». Бессрочно»</v>
      </c>
      <c r="C27" s="233" t="s">
        <v>618</v>
      </c>
      <c r="D27" s="231">
        <f>ROUNDUP(D26*0.97*3,0)</f>
        <v>4450</v>
      </c>
      <c r="E27" s="231">
        <f>ROUNDUP(E26*0.97*3,0)</f>
        <v>3382</v>
      </c>
      <c r="F27" s="231">
        <f>ROUNDUP(F26*0.97*3,0)</f>
        <v>2573</v>
      </c>
      <c r="G27" s="231">
        <f>ROUNDUP(G26*0.97*3,0)</f>
        <v>1956</v>
      </c>
      <c r="H27" s="211">
        <v>0.2</v>
      </c>
      <c r="I27" s="234"/>
    </row>
    <row r="28" spans="1:9" ht="25.5" customHeight="1" outlineLevel="1" thickBot="1" x14ac:dyDescent="0.3">
      <c r="A28" s="70">
        <v>18</v>
      </c>
      <c r="B28" s="245" t="str">
        <f>CONCATENATE(O3,B25,Q4)</f>
        <v>Сертификат активации сервиса прямой технической поддержки  уровня "Стандартный" на 5 лет для: «Лицензия на право использования консоли администрирования «Diamond ACS Management». Бессрочно»</v>
      </c>
      <c r="C28" s="248" t="s">
        <v>619</v>
      </c>
      <c r="D28" s="231">
        <f>ROUNDUP(D26*0.95*5,0)</f>
        <v>7263</v>
      </c>
      <c r="E28" s="231">
        <f>ROUNDUP(E26*0.95*5,0)</f>
        <v>5520</v>
      </c>
      <c r="F28" s="231">
        <f>ROUNDUP(F26*0.95*5,0)</f>
        <v>4199</v>
      </c>
      <c r="G28" s="231">
        <f>ROUNDUP(G26*0.95*5,0)</f>
        <v>3192</v>
      </c>
      <c r="H28" s="211">
        <v>0.2</v>
      </c>
      <c r="I28" s="244"/>
    </row>
    <row r="29" spans="1:9" ht="28.5" customHeight="1" thickBot="1" x14ac:dyDescent="0.3">
      <c r="A29" s="70">
        <v>19</v>
      </c>
      <c r="B29" s="165" t="s">
        <v>1325</v>
      </c>
      <c r="C29" s="163" t="s">
        <v>768</v>
      </c>
      <c r="D29" s="156">
        <f>ROUNDUP(D31/2,0)</f>
        <v>4748</v>
      </c>
      <c r="E29" s="155">
        <f>ROUNDUP(D29*0.7,0)</f>
        <v>3324</v>
      </c>
      <c r="F29" s="155">
        <f>ROUNDUP(E29*0.7,0)</f>
        <v>2327</v>
      </c>
      <c r="G29" s="156">
        <f>ROUNDUP(G31/2,0)</f>
        <v>1629</v>
      </c>
      <c r="H29" s="159" t="s">
        <v>4</v>
      </c>
      <c r="I29" s="47" t="s">
        <v>1346</v>
      </c>
    </row>
    <row r="30" spans="1:9" ht="39.75" customHeight="1" outlineLevel="1" thickBot="1" x14ac:dyDescent="0.3">
      <c r="A30" s="70">
        <v>20</v>
      </c>
      <c r="B30" s="245" t="str">
        <f>CONCATENATE(O1,B29,Q4)</f>
        <v>Сертификат активации сервиса прямой технической поддержки  уровня "Стандартный" на 1 год для: «Лицензия на право использования системы контроля и разграничения доступа «Diamond ACS» на автономном сервере. За 1 клиента на 1 год»</v>
      </c>
      <c r="C30" s="233" t="s">
        <v>769</v>
      </c>
      <c r="D30" s="238">
        <f>ROUNDUP(D29*0.2,0)</f>
        <v>950</v>
      </c>
      <c r="E30" s="240">
        <f>ROUNDUP(E29*0.2,0)</f>
        <v>665</v>
      </c>
      <c r="F30" s="238">
        <f>ROUNDUP(F29*0.2,0)</f>
        <v>466</v>
      </c>
      <c r="G30" s="240">
        <f>ROUNDUP(G29*0.2,0)</f>
        <v>326</v>
      </c>
      <c r="H30" s="88">
        <v>0.2</v>
      </c>
      <c r="I30" s="232"/>
    </row>
    <row r="31" spans="1:9" ht="28.5" customHeight="1" thickBot="1" x14ac:dyDescent="0.3">
      <c r="A31" s="70">
        <v>21</v>
      </c>
      <c r="B31" s="165" t="s">
        <v>1326</v>
      </c>
      <c r="C31" s="163" t="s">
        <v>770</v>
      </c>
      <c r="D31" s="154">
        <f>ROUNDUP(9130*1.04,0)</f>
        <v>9496</v>
      </c>
      <c r="E31" s="155">
        <f>ROUNDUP(D31*0.7,0)</f>
        <v>6648</v>
      </c>
      <c r="F31" s="155">
        <f>ROUNDUP(E31*0.7,0)</f>
        <v>4654</v>
      </c>
      <c r="G31" s="155">
        <f>ROUNDUP(F31*0.7,0)</f>
        <v>3258</v>
      </c>
      <c r="H31" s="159" t="s">
        <v>4</v>
      </c>
      <c r="I31" s="47" t="s">
        <v>1346</v>
      </c>
    </row>
    <row r="32" spans="1:9" ht="39.75" customHeight="1" outlineLevel="1" thickBot="1" x14ac:dyDescent="0.3">
      <c r="A32" s="70">
        <v>22</v>
      </c>
      <c r="B32" s="245" t="str">
        <f>CONCATENATE(O1,B31,Q4)</f>
        <v>Сертификат активации сервиса прямой технической поддержки  уровня "Стандартный" на 1 год для: «Лицензия на право использования системы контроля и разграничения доступа «Diamond ACS» на автономном сервере. За 1 клиента на 3 года»</v>
      </c>
      <c r="C32" s="233" t="s">
        <v>771</v>
      </c>
      <c r="D32" s="238">
        <f>ROUNDUP(D31*0.2,0)</f>
        <v>1900</v>
      </c>
      <c r="E32" s="240">
        <f>ROUNDUP(E31*0.2,0)</f>
        <v>1330</v>
      </c>
      <c r="F32" s="240">
        <f>ROUNDUP(F31*0.2,0)</f>
        <v>931</v>
      </c>
      <c r="G32" s="240">
        <f>ROUNDUP(G31*0.2,0)</f>
        <v>652</v>
      </c>
      <c r="H32" s="88">
        <v>0.2</v>
      </c>
      <c r="I32" s="232"/>
    </row>
    <row r="33" spans="1:9" ht="39.75" customHeight="1" outlineLevel="1" thickBot="1" x14ac:dyDescent="0.3">
      <c r="A33" s="70">
        <v>23</v>
      </c>
      <c r="B33" s="245" t="str">
        <f>CONCATENATE(O2,B31,Q4)</f>
        <v>Сертификат активации сервиса прямой технической поддержки  уровня "Стандартный" на 3 года для: «Лицензия на право использования системы контроля и разграничения доступа «Diamond ACS» на автономном сервере. За 1 клиента на 3 года»</v>
      </c>
      <c r="C33" s="233" t="s">
        <v>772</v>
      </c>
      <c r="D33" s="240">
        <f>ROUNDUP(D32*0.97*3,0)</f>
        <v>5529</v>
      </c>
      <c r="E33" s="240">
        <f>ROUNDUP(E32*0.97*3,0)</f>
        <v>3871</v>
      </c>
      <c r="F33" s="240">
        <f>ROUNDUP(F32*0.97*3,0)</f>
        <v>2710</v>
      </c>
      <c r="G33" s="240">
        <f>ROUNDUP(G32*0.97*3,0)</f>
        <v>1898</v>
      </c>
      <c r="H33" s="88">
        <v>0.2</v>
      </c>
      <c r="I33" s="232"/>
    </row>
    <row r="34" spans="1:9" ht="28.5" customHeight="1" thickBot="1" x14ac:dyDescent="0.3">
      <c r="A34" s="70">
        <v>24</v>
      </c>
      <c r="B34" s="165" t="s">
        <v>1327</v>
      </c>
      <c r="C34" s="163" t="s">
        <v>773</v>
      </c>
      <c r="D34" s="156">
        <f>ROUNDUP(D31*1.5,0)</f>
        <v>14244</v>
      </c>
      <c r="E34" s="155">
        <f>ROUNDUP(D34*0.7,0)</f>
        <v>9971</v>
      </c>
      <c r="F34" s="156">
        <f>ROUNDUP(F31*1.5,0)</f>
        <v>6981</v>
      </c>
      <c r="G34" s="155">
        <f>ROUNDUP(F34*0.7,0)</f>
        <v>4887</v>
      </c>
      <c r="H34" s="260" t="s">
        <v>4</v>
      </c>
      <c r="I34" s="47" t="s">
        <v>1346</v>
      </c>
    </row>
    <row r="35" spans="1:9" ht="39.75" customHeight="1" outlineLevel="1" thickBot="1" x14ac:dyDescent="0.3">
      <c r="A35" s="70">
        <v>25</v>
      </c>
      <c r="B35" s="245" t="str">
        <f>CONCATENATE(O1,B34,Q4)</f>
        <v>Сертификат активации сервиса прямой технической поддержки  уровня "Стандартный" на 1 год для: «Лицензия на право использования системы контроля и разграничения доступа «Diamond ACS» на автономном сервере. За 1 клиента бессрочно»</v>
      </c>
      <c r="C35" s="233" t="s">
        <v>774</v>
      </c>
      <c r="D35" s="238">
        <f>ROUNDUP(D34*0.2,0)</f>
        <v>2849</v>
      </c>
      <c r="E35" s="240">
        <f>ROUNDUP(E34*0.2,0)</f>
        <v>1995</v>
      </c>
      <c r="F35" s="238">
        <f>ROUNDUP(F34*0.2,0)</f>
        <v>1397</v>
      </c>
      <c r="G35" s="240">
        <f>ROUNDUP(G34*0.2,0)</f>
        <v>978</v>
      </c>
      <c r="H35" s="211">
        <v>0.2</v>
      </c>
      <c r="I35" s="244"/>
    </row>
    <row r="36" spans="1:9" ht="39.75" customHeight="1" outlineLevel="1" thickBot="1" x14ac:dyDescent="0.3">
      <c r="A36" s="70">
        <v>26</v>
      </c>
      <c r="B36" s="245" t="str">
        <f>CONCATENATE(O2,B34,Q4)</f>
        <v>Сертификат активации сервиса прямой технической поддержки  уровня "Стандартный" на 3 года для: «Лицензия на право использования системы контроля и разграничения доступа «Diamond ACS» на автономном сервере. За 1 клиента бессрочно»</v>
      </c>
      <c r="C36" s="233" t="s">
        <v>775</v>
      </c>
      <c r="D36" s="231">
        <f>ROUNDUP(D35*0.97*3,0)</f>
        <v>8291</v>
      </c>
      <c r="E36" s="231">
        <f>ROUNDUP(E35*0.97*3,0)</f>
        <v>5806</v>
      </c>
      <c r="F36" s="231">
        <f>ROUNDUP(F35*0.97*3,0)</f>
        <v>4066</v>
      </c>
      <c r="G36" s="231">
        <f>ROUNDUP(G35*0.97*3,0)</f>
        <v>2846</v>
      </c>
      <c r="H36" s="211">
        <v>0.2</v>
      </c>
      <c r="I36" s="234"/>
    </row>
    <row r="37" spans="1:9" ht="39.75" customHeight="1" outlineLevel="1" thickBot="1" x14ac:dyDescent="0.3">
      <c r="A37" s="70">
        <v>27</v>
      </c>
      <c r="B37" s="235" t="str">
        <f>CONCATENATE(O3,B34,Q4)</f>
        <v>Сертификат активации сервиса прямой технической поддержки  уровня "Стандартный" на 5 лет для: «Лицензия на право использования системы контроля и разграничения доступа «Diamond ACS» на автономном сервере. За 1 клиента бессрочно»</v>
      </c>
      <c r="C37" s="233" t="s">
        <v>776</v>
      </c>
      <c r="D37" s="231">
        <f>ROUNDUP(D35*0.95*5,0)</f>
        <v>13533</v>
      </c>
      <c r="E37" s="231">
        <f>ROUNDUP(E35*0.95*5,0)</f>
        <v>9477</v>
      </c>
      <c r="F37" s="231">
        <f>ROUNDUP(F35*0.95*5,0)</f>
        <v>6636</v>
      </c>
      <c r="G37" s="231">
        <f>ROUNDUP(G35*0.95*5,0)</f>
        <v>4646</v>
      </c>
      <c r="H37" s="211">
        <v>0.2</v>
      </c>
      <c r="I37" s="246"/>
    </row>
    <row r="38" spans="1:9" ht="31.5" customHeight="1" thickBot="1" x14ac:dyDescent="0.3">
      <c r="A38" s="70"/>
      <c r="B38" s="26" t="s">
        <v>1345</v>
      </c>
      <c r="C38" s="7"/>
      <c r="D38" s="113"/>
      <c r="E38" s="113"/>
      <c r="F38" s="113"/>
      <c r="G38" s="113"/>
      <c r="H38" s="8"/>
      <c r="I38" s="9"/>
    </row>
    <row r="39" spans="1:9" ht="29.25" customHeight="1" thickBot="1" x14ac:dyDescent="0.3">
      <c r="A39" s="70"/>
      <c r="B39" s="71" t="s">
        <v>1328</v>
      </c>
      <c r="C39" s="35"/>
      <c r="D39" s="114"/>
      <c r="E39" s="114"/>
      <c r="F39" s="114"/>
      <c r="G39" s="114"/>
      <c r="H39" s="36"/>
      <c r="I39" s="62" t="s">
        <v>1321</v>
      </c>
    </row>
    <row r="40" spans="1:9" ht="42" customHeight="1" thickBot="1" x14ac:dyDescent="0.3">
      <c r="A40" s="70">
        <v>28</v>
      </c>
      <c r="B40" s="157" t="s">
        <v>1332</v>
      </c>
      <c r="C40" s="158" t="s">
        <v>100</v>
      </c>
      <c r="D40" s="154">
        <f>ROUNDUP(D48/2,0)</f>
        <v>21164</v>
      </c>
      <c r="E40" s="154">
        <f>ROUNDUP(D40*0.7,0)</f>
        <v>14815</v>
      </c>
      <c r="F40" s="154">
        <f>ROUNDUP(E40*0.7,0)</f>
        <v>10371</v>
      </c>
      <c r="G40" s="154">
        <f>ROUNDUP(F40*0.7,0)</f>
        <v>7260</v>
      </c>
      <c r="H40" s="159" t="s">
        <v>4</v>
      </c>
      <c r="I40" s="53"/>
    </row>
    <row r="41" spans="1:9" ht="51.95" customHeight="1" outlineLevel="1" thickBot="1" x14ac:dyDescent="0.3">
      <c r="A41" s="70">
        <v>29</v>
      </c>
      <c r="B41" s="229" t="str">
        <f>CONCATENATE(O1,B40,Q4)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49 рабочих станций/серверов) на 1 год»</v>
      </c>
      <c r="C41" s="230" t="s">
        <v>120</v>
      </c>
      <c r="D41" s="231">
        <f>ROUNDUP(D40*0.2,0)</f>
        <v>4233</v>
      </c>
      <c r="E41" s="231">
        <f>ROUNDUP(E40*0.2,0)</f>
        <v>2963</v>
      </c>
      <c r="F41" s="231">
        <f>ROUNDUP(F40*0.2,0)</f>
        <v>2075</v>
      </c>
      <c r="G41" s="231">
        <f>ROUNDUP(G40*0.2,0)</f>
        <v>1452</v>
      </c>
      <c r="H41" s="88">
        <v>0.2</v>
      </c>
      <c r="I41" s="232"/>
    </row>
    <row r="42" spans="1:9" ht="42" customHeight="1" thickBot="1" x14ac:dyDescent="0.3">
      <c r="A42" s="70">
        <v>30</v>
      </c>
      <c r="B42" s="160" t="s">
        <v>1333</v>
      </c>
      <c r="C42" s="163" t="s">
        <v>101</v>
      </c>
      <c r="D42" s="154">
        <f>ROUNDUP(D51/2,0)</f>
        <v>51480</v>
      </c>
      <c r="E42" s="154">
        <f t="shared" ref="E42:G44" si="0">ROUNDUP(D42*0.7,0)</f>
        <v>36036</v>
      </c>
      <c r="F42" s="154">
        <f t="shared" si="0"/>
        <v>25226</v>
      </c>
      <c r="G42" s="154">
        <f t="shared" si="0"/>
        <v>17659</v>
      </c>
      <c r="H42" s="162" t="s">
        <v>4</v>
      </c>
      <c r="I42" s="53"/>
    </row>
    <row r="43" spans="1:9" ht="51.95" customHeight="1" outlineLevel="1" thickBot="1" x14ac:dyDescent="0.3">
      <c r="A43" s="70">
        <v>31</v>
      </c>
      <c r="B43" s="84" t="str">
        <f>CONCATENATE(O1,B42,Q4)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249 рабочих станций/серверов) на 1 год»</v>
      </c>
      <c r="C43" s="230" t="s">
        <v>123</v>
      </c>
      <c r="D43" s="231">
        <f>D42*0.2</f>
        <v>10296</v>
      </c>
      <c r="E43" s="231">
        <f t="shared" si="0"/>
        <v>7208</v>
      </c>
      <c r="F43" s="231">
        <f t="shared" si="0"/>
        <v>5046</v>
      </c>
      <c r="G43" s="231">
        <f t="shared" si="0"/>
        <v>3533</v>
      </c>
      <c r="H43" s="88">
        <v>0.2</v>
      </c>
      <c r="I43" s="232"/>
    </row>
    <row r="44" spans="1:9" ht="42" customHeight="1" thickBot="1" x14ac:dyDescent="0.3">
      <c r="A44" s="70">
        <v>32</v>
      </c>
      <c r="B44" s="160" t="s">
        <v>1334</v>
      </c>
      <c r="C44" s="163" t="s">
        <v>102</v>
      </c>
      <c r="D44" s="154">
        <f>ROUNDUP(D54/2,0)</f>
        <v>100672</v>
      </c>
      <c r="E44" s="154">
        <f t="shared" si="0"/>
        <v>70471</v>
      </c>
      <c r="F44" s="154">
        <f t="shared" si="0"/>
        <v>49330</v>
      </c>
      <c r="G44" s="154">
        <f t="shared" si="0"/>
        <v>34531</v>
      </c>
      <c r="H44" s="159" t="s">
        <v>4</v>
      </c>
      <c r="I44" s="53"/>
    </row>
    <row r="45" spans="1:9" ht="51.95" customHeight="1" outlineLevel="1" thickBot="1" x14ac:dyDescent="0.3">
      <c r="A45" s="70">
        <v>33</v>
      </c>
      <c r="B45" s="229" t="str">
        <f>CONCATENATE(O1,B44,Q4)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(неограниченное кол-во рабочих станций/серверов) на 1 год»</v>
      </c>
      <c r="C45" s="230" t="s">
        <v>124</v>
      </c>
      <c r="D45" s="231">
        <f>ROUNDUP(D44*0.2,0)</f>
        <v>20135</v>
      </c>
      <c r="E45" s="231">
        <f>ROUNDUP(E44*0.2,0)</f>
        <v>14095</v>
      </c>
      <c r="F45" s="231">
        <f>ROUNDUP(F44*0.2,0)</f>
        <v>9866</v>
      </c>
      <c r="G45" s="231">
        <f>ROUNDUP(G44*0.2,0)</f>
        <v>6907</v>
      </c>
      <c r="H45" s="88">
        <v>0.2</v>
      </c>
      <c r="I45" s="232"/>
    </row>
    <row r="46" spans="1:9" ht="28.5" customHeight="1" thickBot="1" x14ac:dyDescent="0.3">
      <c r="A46" s="70">
        <v>34</v>
      </c>
      <c r="B46" s="160" t="s">
        <v>48</v>
      </c>
      <c r="C46" s="163" t="s">
        <v>103</v>
      </c>
      <c r="D46" s="154">
        <f>ROUNDUP(D57/2,0)</f>
        <v>4119</v>
      </c>
      <c r="E46" s="154">
        <f>ROUNDUP(D46*0.7,0)</f>
        <v>2884</v>
      </c>
      <c r="F46" s="154">
        <f>ROUNDUP(E46*0.7,0)</f>
        <v>2019</v>
      </c>
      <c r="G46" s="154">
        <f>ROUNDUP(F46*0.7,0)</f>
        <v>1414</v>
      </c>
      <c r="H46" s="159" t="s">
        <v>4</v>
      </c>
      <c r="I46" s="53"/>
    </row>
    <row r="47" spans="1:9" ht="42.75" customHeight="1" outlineLevel="1" thickBot="1" x14ac:dyDescent="0.3">
      <c r="A47" s="70">
        <v>35</v>
      </c>
      <c r="B47" s="229" t="str">
        <f>CONCATENATE(O1,B46,Q4)</f>
        <v>Сертификат активации сервиса прямой технической поддержки  уровня "Стандартный" на 1 год для: «Лицензия на право использования  дополнительной консоли администрирования «Diamond ACS Management Server» на 1 год»</v>
      </c>
      <c r="C47" s="230" t="s">
        <v>125</v>
      </c>
      <c r="D47" s="231">
        <f>ROUNDUP(D46*0.2,0)</f>
        <v>824</v>
      </c>
      <c r="E47" s="231">
        <f>ROUNDUP(E46*0.2,0)</f>
        <v>577</v>
      </c>
      <c r="F47" s="231">
        <f>ROUNDUP(F46*0.2,0)</f>
        <v>404</v>
      </c>
      <c r="G47" s="231">
        <f>ROUNDUP(G46*0.2,0)</f>
        <v>283</v>
      </c>
      <c r="H47" s="88">
        <v>0.2</v>
      </c>
      <c r="I47" s="232"/>
    </row>
    <row r="48" spans="1:9" ht="42" customHeight="1" thickBot="1" x14ac:dyDescent="0.3">
      <c r="A48" s="70">
        <v>36</v>
      </c>
      <c r="B48" s="157" t="s">
        <v>1335</v>
      </c>
      <c r="C48" s="158" t="s">
        <v>104</v>
      </c>
      <c r="D48" s="156">
        <f>ROUNDUP(40700*1.04,0)</f>
        <v>42328</v>
      </c>
      <c r="E48" s="156">
        <f>ROUNDUP(D48*0.7,0)</f>
        <v>29630</v>
      </c>
      <c r="F48" s="156">
        <f>ROUNDUP(E48*0.7,0)</f>
        <v>20741</v>
      </c>
      <c r="G48" s="156">
        <f>ROUNDUP(F48*0.7,0)</f>
        <v>14519</v>
      </c>
      <c r="H48" s="159" t="s">
        <v>4</v>
      </c>
      <c r="I48" s="53"/>
    </row>
    <row r="49" spans="1:9" ht="51.95" customHeight="1" outlineLevel="1" thickBot="1" x14ac:dyDescent="0.3">
      <c r="A49" s="70">
        <v>37</v>
      </c>
      <c r="B49" s="84" t="str">
        <f>CONCATENATE(O1,B48,Q4)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49 рабочих станций/серверов) на 3 года»</v>
      </c>
      <c r="C49" s="230" t="s">
        <v>126</v>
      </c>
      <c r="D49" s="247">
        <f>ROUNDUP(D48*0.2,0)</f>
        <v>8466</v>
      </c>
      <c r="E49" s="247">
        <f>ROUNDUP(E48*0.2,0)</f>
        <v>5926</v>
      </c>
      <c r="F49" s="247">
        <f>ROUNDUP(F48*0.2,0)</f>
        <v>4149</v>
      </c>
      <c r="G49" s="247">
        <f>ROUNDUP(G48*0.2,0)</f>
        <v>2904</v>
      </c>
      <c r="H49" s="88">
        <v>0.2</v>
      </c>
      <c r="I49" s="232"/>
    </row>
    <row r="50" spans="1:9" ht="51.95" customHeight="1" outlineLevel="1" thickBot="1" x14ac:dyDescent="0.3">
      <c r="A50" s="70">
        <v>38</v>
      </c>
      <c r="B50" s="84" t="str">
        <f>CONCATENATE(O2,B48,Q4)</f>
        <v>Сертификат активации сервиса прямой технической поддержки  уровня "Стандартный" на 3 года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49 рабочих станций/серверов) на 3 года»</v>
      </c>
      <c r="C50" s="230" t="s">
        <v>622</v>
      </c>
      <c r="D50" s="247">
        <f>ROUNDUP(D49*0.97*3,0)</f>
        <v>24637</v>
      </c>
      <c r="E50" s="247">
        <f>ROUNDUP(E49*0.97*3,0)</f>
        <v>17245</v>
      </c>
      <c r="F50" s="247">
        <f>ROUNDUP(F49*0.97*3,0)</f>
        <v>12074</v>
      </c>
      <c r="G50" s="247">
        <f>ROUNDUP(G49*0.97*3,0)</f>
        <v>8451</v>
      </c>
      <c r="H50" s="88">
        <v>0.2</v>
      </c>
      <c r="I50" s="232"/>
    </row>
    <row r="51" spans="1:9" ht="42" customHeight="1" thickBot="1" x14ac:dyDescent="0.3">
      <c r="A51" s="70">
        <v>39</v>
      </c>
      <c r="B51" s="160" t="s">
        <v>1336</v>
      </c>
      <c r="C51" s="158" t="s">
        <v>109</v>
      </c>
      <c r="D51" s="156">
        <f>ROUNDUP(99000*1.04,0)</f>
        <v>102960</v>
      </c>
      <c r="E51" s="156">
        <f>ROUNDUP(D51*0.7,0)</f>
        <v>72072</v>
      </c>
      <c r="F51" s="156">
        <f>ROUNDUP(E51*0.7,0)</f>
        <v>50451</v>
      </c>
      <c r="G51" s="156">
        <f>ROUNDUP(F51*0.7,0)</f>
        <v>35316</v>
      </c>
      <c r="H51" s="162" t="s">
        <v>4</v>
      </c>
      <c r="I51" s="53"/>
    </row>
    <row r="52" spans="1:9" ht="51.95" customHeight="1" outlineLevel="1" thickBot="1" x14ac:dyDescent="0.3">
      <c r="A52" s="70">
        <v>40</v>
      </c>
      <c r="B52" s="84" t="str">
        <f>CONCATENATE(O1,B51,Q4)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249 рабочих станций/серверов) на 3 года»</v>
      </c>
      <c r="C52" s="230" t="s">
        <v>127</v>
      </c>
      <c r="D52" s="247">
        <f>D51*0.2</f>
        <v>20592</v>
      </c>
      <c r="E52" s="247">
        <f>ROUNDUP(E51*0.2,0)</f>
        <v>14415</v>
      </c>
      <c r="F52" s="247">
        <f>ROUNDUP(F51*0.2,0)</f>
        <v>10091</v>
      </c>
      <c r="G52" s="247">
        <f>ROUNDUP(G51*0.2,0)</f>
        <v>7064</v>
      </c>
      <c r="H52" s="88">
        <v>0.2</v>
      </c>
      <c r="I52" s="232"/>
    </row>
    <row r="53" spans="1:9" ht="51.95" customHeight="1" outlineLevel="1" thickBot="1" x14ac:dyDescent="0.3">
      <c r="A53" s="70">
        <v>41</v>
      </c>
      <c r="B53" s="84" t="str">
        <f>CONCATENATE(O2,B51,Q4)</f>
        <v>Сертификат активации сервиса прямой технической поддержки  уровня "Стандартный" на 3 года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249 рабочих станций/серверов) на 3 года»</v>
      </c>
      <c r="C53" s="230" t="s">
        <v>623</v>
      </c>
      <c r="D53" s="247">
        <f>ROUNDUP(D52*0.97*3,0)</f>
        <v>59923</v>
      </c>
      <c r="E53" s="247">
        <f>ROUNDUP(E52*0.97*3,0)</f>
        <v>41948</v>
      </c>
      <c r="F53" s="247">
        <f>ROUNDUP(F52*0.97*3,0)</f>
        <v>29365</v>
      </c>
      <c r="G53" s="247">
        <f>ROUNDUP(G52*0.97*3,0)</f>
        <v>20557</v>
      </c>
      <c r="H53" s="88">
        <v>0.2</v>
      </c>
      <c r="I53" s="232"/>
    </row>
    <row r="54" spans="1:9" ht="42" customHeight="1" thickBot="1" x14ac:dyDescent="0.3">
      <c r="A54" s="70">
        <v>42</v>
      </c>
      <c r="B54" s="160" t="s">
        <v>1337</v>
      </c>
      <c r="C54" s="158" t="s">
        <v>110</v>
      </c>
      <c r="D54" s="156">
        <f>ROUNDUP(193600*1.04,0)</f>
        <v>201344</v>
      </c>
      <c r="E54" s="156">
        <f>ROUNDUP(D54*0.7,0)</f>
        <v>140941</v>
      </c>
      <c r="F54" s="156">
        <f>ROUNDUP(E54*0.7,0)</f>
        <v>98659</v>
      </c>
      <c r="G54" s="156">
        <f>ROUNDUP(F54*0.7,0)</f>
        <v>69062</v>
      </c>
      <c r="H54" s="159" t="s">
        <v>4</v>
      </c>
      <c r="I54" s="53"/>
    </row>
    <row r="55" spans="1:9" ht="51.95" customHeight="1" outlineLevel="1" thickBot="1" x14ac:dyDescent="0.3">
      <c r="A55" s="70">
        <v>43</v>
      </c>
      <c r="B55" s="229" t="str">
        <f>CONCATENATE(O1,B54,Q4)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(неограниченное кол-во рабочих станций/серверов) на 3 года»</v>
      </c>
      <c r="C55" s="230" t="s">
        <v>128</v>
      </c>
      <c r="D55" s="247">
        <f>ROUNDUP(D54*0.2,0)</f>
        <v>40269</v>
      </c>
      <c r="E55" s="247">
        <f>ROUNDUP(E54*0.2,0)</f>
        <v>28189</v>
      </c>
      <c r="F55" s="247">
        <f>ROUNDUP(F54*0.2,0)</f>
        <v>19732</v>
      </c>
      <c r="G55" s="247">
        <f>ROUNDUP(G54*0.2,0)</f>
        <v>13813</v>
      </c>
      <c r="H55" s="88">
        <v>0.2</v>
      </c>
      <c r="I55" s="232"/>
    </row>
    <row r="56" spans="1:9" ht="51.95" customHeight="1" outlineLevel="1" thickBot="1" x14ac:dyDescent="0.3">
      <c r="A56" s="70">
        <v>44</v>
      </c>
      <c r="B56" s="229" t="str">
        <f>CONCATENATE(O2,B54,Q4)</f>
        <v>Сертификат активации сервиса прямой технической поддержки  уровня "Стандартный" на 3 года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(неограниченное кол-во рабочих станций/серверов) на 3 года»</v>
      </c>
      <c r="C56" s="230" t="s">
        <v>624</v>
      </c>
      <c r="D56" s="247">
        <f>ROUNDUP(D55*0.97*3,0)</f>
        <v>117183</v>
      </c>
      <c r="E56" s="247">
        <f>ROUNDUP(E55*0.97*3,0)</f>
        <v>82030</v>
      </c>
      <c r="F56" s="247">
        <f>ROUNDUP(F55*0.97*3,0)</f>
        <v>57421</v>
      </c>
      <c r="G56" s="247">
        <f>ROUNDUP(G55*0.97*3,0)</f>
        <v>40196</v>
      </c>
      <c r="H56" s="88">
        <v>0.2</v>
      </c>
      <c r="I56" s="232"/>
    </row>
    <row r="57" spans="1:9" ht="28.5" customHeight="1" thickBot="1" x14ac:dyDescent="0.3">
      <c r="A57" s="70">
        <v>45</v>
      </c>
      <c r="B57" s="160" t="s">
        <v>49</v>
      </c>
      <c r="C57" s="158" t="s">
        <v>111</v>
      </c>
      <c r="D57" s="156">
        <f>ROUNDUP(7920*1.04,0)</f>
        <v>8237</v>
      </c>
      <c r="E57" s="156">
        <f>ROUNDUP(D57*0.7,0)</f>
        <v>5766</v>
      </c>
      <c r="F57" s="156">
        <f>ROUNDUP(E57*0.7,0)</f>
        <v>4037</v>
      </c>
      <c r="G57" s="156">
        <f>ROUNDUP(F57*0.7,0)</f>
        <v>2826</v>
      </c>
      <c r="H57" s="159" t="s">
        <v>4</v>
      </c>
      <c r="I57" s="53"/>
    </row>
    <row r="58" spans="1:9" ht="42.75" customHeight="1" outlineLevel="1" thickBot="1" x14ac:dyDescent="0.3">
      <c r="A58" s="70">
        <v>46</v>
      </c>
      <c r="B58" s="229" t="str">
        <f>CONCATENATE(O1,B57,Q4)</f>
        <v>Сертификат активации сервиса прямой технической поддержки  уровня "Стандартный" на 1 год для: «Лицензия на право использования  дополнительной консоли администрирования «Diamond ACS Management Server» на 3 года»</v>
      </c>
      <c r="C58" s="230" t="s">
        <v>129</v>
      </c>
      <c r="D58" s="247">
        <f>ROUNDUP(D57*0.2,0)</f>
        <v>1648</v>
      </c>
      <c r="E58" s="247">
        <f>ROUNDUP(E57*0.2,0)</f>
        <v>1154</v>
      </c>
      <c r="F58" s="247">
        <f>ROUNDUP(F57*0.2,0)</f>
        <v>808</v>
      </c>
      <c r="G58" s="247">
        <f>ROUNDUP(G57*0.2,0)</f>
        <v>566</v>
      </c>
      <c r="H58" s="88">
        <v>0.2</v>
      </c>
      <c r="I58" s="232"/>
    </row>
    <row r="59" spans="1:9" ht="42.75" customHeight="1" outlineLevel="1" thickBot="1" x14ac:dyDescent="0.3">
      <c r="A59" s="70">
        <v>47</v>
      </c>
      <c r="B59" s="229" t="str">
        <f>CONCATENATE(O2,B57,Q4)</f>
        <v>Сертификат активации сервиса прямой технической поддержки  уровня "Стандартный" на 3 года для: «Лицензия на право использования  дополнительной консоли администрирования «Diamond ACS Management Server» на 3 года»</v>
      </c>
      <c r="C59" s="230" t="s">
        <v>625</v>
      </c>
      <c r="D59" s="247">
        <f>ROUNDUP(D58*0.97*3,0)</f>
        <v>4796</v>
      </c>
      <c r="E59" s="247">
        <f>ROUNDUP(E58*0.97*3,0)</f>
        <v>3359</v>
      </c>
      <c r="F59" s="247">
        <f>ROUNDUP(F58*0.97*3,0)</f>
        <v>2352</v>
      </c>
      <c r="G59" s="247">
        <f>ROUNDUP(G58*0.97*3,0)</f>
        <v>1648</v>
      </c>
      <c r="H59" s="88">
        <v>0.2</v>
      </c>
      <c r="I59" s="232"/>
    </row>
    <row r="60" spans="1:9" ht="42" customHeight="1" thickBot="1" x14ac:dyDescent="0.3">
      <c r="A60" s="70">
        <v>48</v>
      </c>
      <c r="B60" s="157" t="s">
        <v>1338</v>
      </c>
      <c r="C60" s="158" t="s">
        <v>113</v>
      </c>
      <c r="D60" s="154">
        <f>ROUNDUP(D48*1.5,0)</f>
        <v>63492</v>
      </c>
      <c r="E60" s="261">
        <f>ROUNDUP(D60*0.7,0)</f>
        <v>44445</v>
      </c>
      <c r="F60" s="261">
        <f>ROUNDUP(E60*0.7,0)</f>
        <v>31112</v>
      </c>
      <c r="G60" s="261">
        <f>ROUNDUP(F60*0.7,0)</f>
        <v>21779</v>
      </c>
      <c r="H60" s="159" t="s">
        <v>4</v>
      </c>
      <c r="I60" s="53"/>
    </row>
    <row r="61" spans="1:9" ht="51.95" customHeight="1" outlineLevel="1" thickBot="1" x14ac:dyDescent="0.3">
      <c r="A61" s="70">
        <v>49</v>
      </c>
      <c r="B61" s="84" t="str">
        <f>CONCATENATE(O1,B60,Q4)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49 рабочих станций/серверов). Бессрочно»</v>
      </c>
      <c r="C61" s="230" t="s">
        <v>130</v>
      </c>
      <c r="D61" s="231">
        <f>ROUNDUP(D60*0.2,0)</f>
        <v>12699</v>
      </c>
      <c r="E61" s="231">
        <f>ROUNDUP(E60*0.2,0)</f>
        <v>8889</v>
      </c>
      <c r="F61" s="231">
        <f>ROUNDUP(F60*0.2,0)</f>
        <v>6223</v>
      </c>
      <c r="G61" s="231">
        <f>ROUNDUP(G60*0.2,0)</f>
        <v>4356</v>
      </c>
      <c r="H61" s="88">
        <v>0.2</v>
      </c>
      <c r="I61" s="232"/>
    </row>
    <row r="62" spans="1:9" ht="51.95" customHeight="1" outlineLevel="1" thickBot="1" x14ac:dyDescent="0.3">
      <c r="A62" s="70">
        <v>50</v>
      </c>
      <c r="B62" s="84" t="str">
        <f>CONCATENATE(O2,B60,Q4)</f>
        <v>Сертификат активации сервиса прямой технической поддержки  уровня "Стандартный" на 3 года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49 рабочих станций/серверов). Бессрочно»</v>
      </c>
      <c r="C62" s="230" t="s">
        <v>626</v>
      </c>
      <c r="D62" s="231">
        <f>ROUNDUP(D61*0.97*3,0)</f>
        <v>36955</v>
      </c>
      <c r="E62" s="231">
        <f>ROUNDUP(E61*0.97*3,0)</f>
        <v>25867</v>
      </c>
      <c r="F62" s="231">
        <f>ROUNDUP(F61*0.97*3,0)</f>
        <v>18109</v>
      </c>
      <c r="G62" s="231">
        <f>ROUNDUP(G61*0.97*3,0)</f>
        <v>12676</v>
      </c>
      <c r="H62" s="88">
        <v>0.2</v>
      </c>
      <c r="I62" s="232"/>
    </row>
    <row r="63" spans="1:9" ht="51.95" customHeight="1" outlineLevel="1" thickBot="1" x14ac:dyDescent="0.3">
      <c r="A63" s="70">
        <v>51</v>
      </c>
      <c r="B63" s="84" t="str">
        <f>CONCATENATE(O3,B60,Q4)</f>
        <v>Сертификат активации сервиса прямой технической поддержки  уровня "Стандартный" на 5 лет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49 рабочих станций/серверов). Бессрочно»</v>
      </c>
      <c r="C63" s="230" t="s">
        <v>627</v>
      </c>
      <c r="D63" s="231">
        <f>ROUNDUP(D61*0.95*5,0)</f>
        <v>60321</v>
      </c>
      <c r="E63" s="231">
        <f>ROUNDUP(E61*0.95*5,0)</f>
        <v>42223</v>
      </c>
      <c r="F63" s="231">
        <f>ROUNDUP(F61*0.95*5,0)</f>
        <v>29560</v>
      </c>
      <c r="G63" s="231">
        <f>ROUNDUP(G61*0.95*5,0)</f>
        <v>20691</v>
      </c>
      <c r="H63" s="88">
        <v>0.2</v>
      </c>
      <c r="I63" s="232"/>
    </row>
    <row r="64" spans="1:9" ht="42" customHeight="1" thickBot="1" x14ac:dyDescent="0.3">
      <c r="A64" s="70">
        <v>52</v>
      </c>
      <c r="B64" s="160" t="s">
        <v>1339</v>
      </c>
      <c r="C64" s="158" t="s">
        <v>114</v>
      </c>
      <c r="D64" s="154">
        <f>ROUNDUP(D51*1.5,0)</f>
        <v>154440</v>
      </c>
      <c r="E64" s="154">
        <f>ROUNDUP(D64*0.7,0)</f>
        <v>108108</v>
      </c>
      <c r="F64" s="154">
        <f>ROUNDUP(E64*0.7,0)</f>
        <v>75676</v>
      </c>
      <c r="G64" s="154">
        <f>ROUNDUP(F64*0.7,0)</f>
        <v>52974</v>
      </c>
      <c r="H64" s="162" t="s">
        <v>4</v>
      </c>
      <c r="I64" s="53"/>
    </row>
    <row r="65" spans="1:9" ht="51.95" customHeight="1" outlineLevel="1" thickBot="1" x14ac:dyDescent="0.3">
      <c r="A65" s="70">
        <v>53</v>
      </c>
      <c r="B65" s="84" t="str">
        <f>CONCATENATE(O1,B64,Q4)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249 рабочих станций/серверов). Бессрочно»</v>
      </c>
      <c r="C65" s="230" t="s">
        <v>131</v>
      </c>
      <c r="D65" s="231">
        <f>ROUNDUP(D64*0.2,0)</f>
        <v>30888</v>
      </c>
      <c r="E65" s="231">
        <f>ROUNDUP(E64*0.2,0)</f>
        <v>21622</v>
      </c>
      <c r="F65" s="231">
        <f>ROUNDUP(F64*0.2,0)</f>
        <v>15136</v>
      </c>
      <c r="G65" s="231">
        <f>ROUNDUP(G64*0.2,0)</f>
        <v>10595</v>
      </c>
      <c r="H65" s="88">
        <v>0.2</v>
      </c>
      <c r="I65" s="232"/>
    </row>
    <row r="66" spans="1:9" ht="51.95" customHeight="1" outlineLevel="1" thickBot="1" x14ac:dyDescent="0.3">
      <c r="A66" s="70">
        <v>54</v>
      </c>
      <c r="B66" s="84" t="str">
        <f>CONCATENATE(O2,B64,Q4)</f>
        <v>Сертификат активации сервиса прямой технической поддержки  уровня "Стандартный" на 3 года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249 рабочих станций/серверов). Бессрочно»</v>
      </c>
      <c r="C66" s="230" t="s">
        <v>628</v>
      </c>
      <c r="D66" s="231">
        <f>ROUNDUP(D65*0.97*3,0)</f>
        <v>89885</v>
      </c>
      <c r="E66" s="231">
        <f>ROUNDUP(E65*0.97*3,0)</f>
        <v>62921</v>
      </c>
      <c r="F66" s="231">
        <f>ROUNDUP(F65*0.97*3,0)</f>
        <v>44046</v>
      </c>
      <c r="G66" s="231">
        <f>ROUNDUP(G65*0.97*3,0)</f>
        <v>30832</v>
      </c>
      <c r="H66" s="88">
        <v>0.2</v>
      </c>
      <c r="I66" s="232"/>
    </row>
    <row r="67" spans="1:9" ht="51.95" customHeight="1" outlineLevel="1" thickBot="1" x14ac:dyDescent="0.3">
      <c r="A67" s="70">
        <v>55</v>
      </c>
      <c r="B67" s="84" t="str">
        <f>CONCATENATE(O3,B64,Q4)</f>
        <v>Сертификат активации сервиса прямой технической поддержки  уровня "Стандартный" на 5 лет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(от 1 до 249 рабочих станций/серверов). Бессрочно»</v>
      </c>
      <c r="C67" s="230" t="s">
        <v>629</v>
      </c>
      <c r="D67" s="231">
        <f>ROUNDUP(D65*0.95*5,0)</f>
        <v>146718</v>
      </c>
      <c r="E67" s="231">
        <f>ROUNDUP(E65*0.95*5,0)</f>
        <v>102705</v>
      </c>
      <c r="F67" s="231">
        <f>ROUNDUP(F65*0.95*5,0)</f>
        <v>71896</v>
      </c>
      <c r="G67" s="231">
        <f>ROUNDUP(G65*0.95*5,0)</f>
        <v>50327</v>
      </c>
      <c r="H67" s="88">
        <v>0.2</v>
      </c>
      <c r="I67" s="232"/>
    </row>
    <row r="68" spans="1:9" ht="42" customHeight="1" thickBot="1" x14ac:dyDescent="0.3">
      <c r="A68" s="70">
        <v>56</v>
      </c>
      <c r="B68" s="160" t="s">
        <v>1340</v>
      </c>
      <c r="C68" s="158" t="s">
        <v>115</v>
      </c>
      <c r="D68" s="154">
        <f>ROUNDUP(D54*1.5,0)</f>
        <v>302016</v>
      </c>
      <c r="E68" s="154">
        <f>ROUNDUP(D68*0.7,0)</f>
        <v>211412</v>
      </c>
      <c r="F68" s="154">
        <f>ROUNDUP(F54*1.5,0)</f>
        <v>147989</v>
      </c>
      <c r="G68" s="154">
        <f>ROUNDUP(F68*0.7,0)</f>
        <v>103593</v>
      </c>
      <c r="H68" s="162" t="s">
        <v>4</v>
      </c>
      <c r="I68" s="53"/>
    </row>
    <row r="69" spans="1:9" ht="51.75" customHeight="1" outlineLevel="1" thickBot="1" x14ac:dyDescent="0.3">
      <c r="A69" s="70">
        <v>57</v>
      </c>
      <c r="B69" s="237" t="str">
        <f>CONCATENATE(O1,B68,Q4)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(неограниченное кол-во рабочих станций/серверов). Бессрочно»</v>
      </c>
      <c r="C69" s="230" t="s">
        <v>132</v>
      </c>
      <c r="D69" s="231">
        <f>ROUNDUP(D68*0.2,0)</f>
        <v>60404</v>
      </c>
      <c r="E69" s="231">
        <f>ROUNDUP(E68*0.2,0)</f>
        <v>42283</v>
      </c>
      <c r="F69" s="231">
        <f>ROUNDUP(F68*0.2,0)</f>
        <v>29598</v>
      </c>
      <c r="G69" s="231">
        <f>ROUNDUP(G68*0.2,0)</f>
        <v>20719</v>
      </c>
      <c r="H69" s="88">
        <v>0.2</v>
      </c>
      <c r="I69" s="232"/>
    </row>
    <row r="70" spans="1:9" ht="54" customHeight="1" outlineLevel="1" thickBot="1" x14ac:dyDescent="0.3">
      <c r="A70" s="70">
        <v>58</v>
      </c>
      <c r="B70" s="237" t="str">
        <f>CONCATENATE(O2,B68,Q4)</f>
        <v>Сертификат активации сервиса прямой технической поддержки  уровня "Стандартный" на 3 года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(неограниченное кол-во рабочих станций/серверов). Бессрочно»</v>
      </c>
      <c r="C70" s="230" t="s">
        <v>630</v>
      </c>
      <c r="D70" s="231">
        <f>ROUNDUP(D69*0.97*3,0)</f>
        <v>175776</v>
      </c>
      <c r="E70" s="231">
        <f>ROUNDUP(E69*0.97*3,0)</f>
        <v>123044</v>
      </c>
      <c r="F70" s="231">
        <f>ROUNDUP(F69*0.97*3,0)</f>
        <v>86131</v>
      </c>
      <c r="G70" s="231">
        <f>ROUNDUP(G69*0.97*3,0)</f>
        <v>60293</v>
      </c>
      <c r="H70" s="88">
        <v>0.2</v>
      </c>
      <c r="I70" s="232"/>
    </row>
    <row r="71" spans="1:9" ht="51.75" customHeight="1" outlineLevel="1" thickBot="1" x14ac:dyDescent="0.3">
      <c r="A71" s="70">
        <v>59</v>
      </c>
      <c r="B71" s="237" t="str">
        <f>CONCATENATE(O3,B68,Q4)</f>
        <v>Сертификат активации сервиса прямой технической поддержки  уровня "Стандартный" на 5 лет для: «Лицензия на право использования программного комплекса управления безопасностью системы контроля и разграничения доступа «Diamond ACS Security Management Server»  (неограниченное кол-во рабочих станций/серверов). Бессрочно»</v>
      </c>
      <c r="C71" s="230" t="s">
        <v>631</v>
      </c>
      <c r="D71" s="231">
        <f>ROUNDUP(D69*0.95*5,0)</f>
        <v>286919</v>
      </c>
      <c r="E71" s="231">
        <f>ROUNDUP(E69*0.95*5,0)</f>
        <v>200845</v>
      </c>
      <c r="F71" s="231">
        <f>ROUNDUP(F69*0.95*5,0)</f>
        <v>140591</v>
      </c>
      <c r="G71" s="231">
        <f>ROUNDUP(G69*0.95*5,0)</f>
        <v>98416</v>
      </c>
      <c r="H71" s="88">
        <v>0.2</v>
      </c>
      <c r="I71" s="232"/>
    </row>
    <row r="72" spans="1:9" ht="28.5" customHeight="1" thickBot="1" x14ac:dyDescent="0.3">
      <c r="A72" s="70">
        <v>60</v>
      </c>
      <c r="B72" s="160" t="s">
        <v>50</v>
      </c>
      <c r="C72" s="158" t="s">
        <v>116</v>
      </c>
      <c r="D72" s="154">
        <f>ROUNDUP(D57*1.5,0)</f>
        <v>12356</v>
      </c>
      <c r="E72" s="154">
        <f>ROUNDUP(D72*0.7,0)</f>
        <v>8650</v>
      </c>
      <c r="F72" s="154">
        <f>ROUNDUP(E72*0.7,0)</f>
        <v>6055</v>
      </c>
      <c r="G72" s="154">
        <f>ROUNDUP(F72*0.7,0)</f>
        <v>4239</v>
      </c>
      <c r="H72" s="162" t="s">
        <v>4</v>
      </c>
      <c r="I72" s="53"/>
    </row>
    <row r="73" spans="1:9" ht="42.75" customHeight="1" outlineLevel="1" thickBot="1" x14ac:dyDescent="0.3">
      <c r="A73" s="70">
        <v>61</v>
      </c>
      <c r="B73" s="229" t="str">
        <f>CONCATENATE(O1,B72,Q4)</f>
        <v>Сертификат активации сервиса прямой технической поддержки  уровня "Стандартный" на 1 год для: «Лицензия на право использования  дополнительной консоли администрирования «Diamond ACS Management Server». Бессрочно»</v>
      </c>
      <c r="C73" s="230" t="s">
        <v>133</v>
      </c>
      <c r="D73" s="231">
        <f>ROUNDUP(D72*0.2,0)</f>
        <v>2472</v>
      </c>
      <c r="E73" s="231">
        <f>ROUNDUP(E72*0.2,0)</f>
        <v>1730</v>
      </c>
      <c r="F73" s="231">
        <f>ROUNDUP(F72*0.2,0)</f>
        <v>1211</v>
      </c>
      <c r="G73" s="231">
        <f>ROUNDUP(G72*0.2,0)</f>
        <v>848</v>
      </c>
      <c r="H73" s="88">
        <v>0.2</v>
      </c>
      <c r="I73" s="232"/>
    </row>
    <row r="74" spans="1:9" ht="42.75" customHeight="1" outlineLevel="1" thickBot="1" x14ac:dyDescent="0.3">
      <c r="A74" s="70">
        <v>62</v>
      </c>
      <c r="B74" s="229" t="str">
        <f>CONCATENATE(O2,B72,Q4)</f>
        <v>Сертификат активации сервиса прямой технической поддержки  уровня "Стандартный" на 3 года для: «Лицензия на право использования  дополнительной консоли администрирования «Diamond ACS Management Server». Бессрочно»</v>
      </c>
      <c r="C74" s="230" t="s">
        <v>632</v>
      </c>
      <c r="D74" s="231">
        <f>ROUNDUP(D73*0.97*3,0)</f>
        <v>7194</v>
      </c>
      <c r="E74" s="231">
        <f>ROUNDUP(E73*0.97*3,0)</f>
        <v>5035</v>
      </c>
      <c r="F74" s="231">
        <f>ROUNDUP(F73*0.97*3,0)</f>
        <v>3525</v>
      </c>
      <c r="G74" s="231">
        <f>ROUNDUP(G73*0.97*3,0)</f>
        <v>2468</v>
      </c>
      <c r="H74" s="88">
        <v>0.2</v>
      </c>
      <c r="I74" s="232"/>
    </row>
    <row r="75" spans="1:9" ht="42.75" customHeight="1" outlineLevel="1" thickBot="1" x14ac:dyDescent="0.3">
      <c r="A75" s="70">
        <v>63</v>
      </c>
      <c r="B75" s="229" t="str">
        <f>CONCATENATE(O3,B72,Q4)</f>
        <v>Сертификат активации сервиса прямой технической поддержки  уровня "Стандартный" на 5 лет для: «Лицензия на право использования  дополнительной консоли администрирования «Diamond ACS Management Server». Бессрочно»</v>
      </c>
      <c r="C75" s="230" t="s">
        <v>633</v>
      </c>
      <c r="D75" s="231">
        <f>ROUNDUP(D73*0.95*5,0)</f>
        <v>11742</v>
      </c>
      <c r="E75" s="231">
        <f>ROUNDUP(E73*0.95*5,0)</f>
        <v>8218</v>
      </c>
      <c r="F75" s="231">
        <f>ROUNDUP(F73*0.95*5,0)</f>
        <v>5753</v>
      </c>
      <c r="G75" s="231">
        <f>ROUNDUP(G73*0.95*5,0)</f>
        <v>4028</v>
      </c>
      <c r="H75" s="88">
        <v>0.2</v>
      </c>
      <c r="I75" s="232"/>
    </row>
    <row r="76" spans="1:9" ht="27.75" customHeight="1" thickBot="1" x14ac:dyDescent="0.3">
      <c r="A76" s="72"/>
      <c r="B76" s="39" t="s">
        <v>1383</v>
      </c>
      <c r="C76" s="37"/>
      <c r="D76" s="115"/>
      <c r="E76" s="115"/>
      <c r="F76" s="115"/>
      <c r="G76" s="115"/>
      <c r="H76" s="38"/>
      <c r="I76" s="63" t="s">
        <v>1346</v>
      </c>
    </row>
    <row r="77" spans="1:9" ht="28.5" customHeight="1" thickBot="1" x14ac:dyDescent="0.3">
      <c r="A77" s="70">
        <v>64</v>
      </c>
      <c r="B77" s="160" t="s">
        <v>1329</v>
      </c>
      <c r="C77" s="163" t="s">
        <v>117</v>
      </c>
      <c r="D77" s="156">
        <f>ROUNDUP(D79/2,0)</f>
        <v>4748</v>
      </c>
      <c r="E77" s="155">
        <f>ROUNDUP(D77*0.7,0)</f>
        <v>3324</v>
      </c>
      <c r="F77" s="155">
        <f>ROUNDUP(E77*0.7,0)</f>
        <v>2327</v>
      </c>
      <c r="G77" s="156">
        <f>ROUNDUP(G79/2,0)</f>
        <v>1629</v>
      </c>
      <c r="H77" s="162" t="s">
        <v>4</v>
      </c>
      <c r="I77" s="164"/>
    </row>
    <row r="78" spans="1:9" ht="41.25" customHeight="1" outlineLevel="1" thickBot="1" x14ac:dyDescent="0.3">
      <c r="A78" s="70">
        <v>65</v>
      </c>
      <c r="B78" s="84" t="str">
        <f>CONCATENATE(O1,B77,Q4)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СКРД на сервере «Diamond ACS Agent Server». За 1 клиента на 1 год»</v>
      </c>
      <c r="C78" s="233" t="s">
        <v>138</v>
      </c>
      <c r="D78" s="238">
        <f>ROUNDUP(D77*0.2,0)</f>
        <v>950</v>
      </c>
      <c r="E78" s="240">
        <f>ROUNDUP(E77*0.2,0)</f>
        <v>665</v>
      </c>
      <c r="F78" s="238">
        <f>ROUNDUP(F77*0.2,0)</f>
        <v>466</v>
      </c>
      <c r="G78" s="240">
        <f>ROUNDUP(G77*0.2,0)</f>
        <v>326</v>
      </c>
      <c r="H78" s="88">
        <v>0.2</v>
      </c>
      <c r="I78" s="241"/>
    </row>
    <row r="79" spans="1:9" ht="28.5" customHeight="1" thickBot="1" x14ac:dyDescent="0.3">
      <c r="A79" s="70">
        <v>66</v>
      </c>
      <c r="B79" s="160" t="s">
        <v>1330</v>
      </c>
      <c r="C79" s="163" t="s">
        <v>122</v>
      </c>
      <c r="D79" s="154">
        <f>ROUNDUP(9130*1.04,0)</f>
        <v>9496</v>
      </c>
      <c r="E79" s="155">
        <f>ROUNDUP(D79*0.7,0)</f>
        <v>6648</v>
      </c>
      <c r="F79" s="155">
        <f>ROUNDUP(E79*0.7,0)</f>
        <v>4654</v>
      </c>
      <c r="G79" s="155">
        <f>ROUNDUP(F79*0.7,0)</f>
        <v>3258</v>
      </c>
      <c r="H79" s="162" t="s">
        <v>4</v>
      </c>
      <c r="I79" s="164"/>
    </row>
    <row r="80" spans="1:9" ht="39" outlineLevel="1" thickBot="1" x14ac:dyDescent="0.3">
      <c r="A80" s="70">
        <v>67</v>
      </c>
      <c r="B80" s="84" t="str">
        <f>CONCATENATE(O1,B79,Q4)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СКРД на сервере «Diamond ACS Agent Server». За 1 клиента на 3 года»</v>
      </c>
      <c r="C80" s="233" t="s">
        <v>144</v>
      </c>
      <c r="D80" s="238">
        <f>ROUNDUP(D79*0.2,0)</f>
        <v>1900</v>
      </c>
      <c r="E80" s="240">
        <f>ROUNDUP(E79*0.2,0)</f>
        <v>1330</v>
      </c>
      <c r="F80" s="240">
        <f>ROUNDUP(F79*0.2,0)</f>
        <v>931</v>
      </c>
      <c r="G80" s="240">
        <f>ROUNDUP(G79*0.2,0)</f>
        <v>652</v>
      </c>
      <c r="H80" s="88">
        <v>0.2</v>
      </c>
      <c r="I80" s="241"/>
    </row>
    <row r="81" spans="1:9" ht="41.25" customHeight="1" outlineLevel="1" thickBot="1" x14ac:dyDescent="0.3">
      <c r="A81" s="70">
        <v>68</v>
      </c>
      <c r="B81" s="84" t="str">
        <f>CONCATENATE(O2,B79,Q4)</f>
        <v>Сертификат активации сервиса прямой технической поддержки  уровня "Стандартный" на 3 года для: «Лицензия на право использования программного комплекса СКРД на сервере «Diamond ACS Agent Server». За 1 клиента на 3 года»</v>
      </c>
      <c r="C81" s="233" t="s">
        <v>634</v>
      </c>
      <c r="D81" s="240">
        <f>ROUNDUP(D80*0.97*3,0)</f>
        <v>5529</v>
      </c>
      <c r="E81" s="240">
        <f>ROUNDUP(E80*0.97*3,0)</f>
        <v>3871</v>
      </c>
      <c r="F81" s="240">
        <f>ROUNDUP(F80*0.97*3,0)</f>
        <v>2710</v>
      </c>
      <c r="G81" s="240">
        <f>ROUNDUP(G80*0.97*3,0)</f>
        <v>1898</v>
      </c>
      <c r="H81" s="88">
        <v>0.2</v>
      </c>
      <c r="I81" s="241"/>
    </row>
    <row r="82" spans="1:9" ht="28.5" customHeight="1" thickBot="1" x14ac:dyDescent="0.3">
      <c r="A82" s="70">
        <v>69</v>
      </c>
      <c r="B82" s="160" t="s">
        <v>1331</v>
      </c>
      <c r="C82" s="163" t="s">
        <v>134</v>
      </c>
      <c r="D82" s="156">
        <f>ROUNDUP(D79*1.5,0)</f>
        <v>14244</v>
      </c>
      <c r="E82" s="155">
        <f>ROUNDUP(D82*0.7,0)</f>
        <v>9971</v>
      </c>
      <c r="F82" s="156">
        <f>ROUNDUP(F79*1.5,0)</f>
        <v>6981</v>
      </c>
      <c r="G82" s="155">
        <f>ROUNDUP(F82*0.7,0)</f>
        <v>4887</v>
      </c>
      <c r="H82" s="162" t="s">
        <v>4</v>
      </c>
      <c r="I82" s="164"/>
    </row>
    <row r="83" spans="1:9" ht="41.25" customHeight="1" outlineLevel="1" thickBot="1" x14ac:dyDescent="0.3">
      <c r="A83" s="70">
        <v>70</v>
      </c>
      <c r="B83" s="84" t="str">
        <f>CONCATENATE(O1,B82,Q4)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СКРД на сервере «Diamond ACS Agent Server». За 1 клиента бессрочно»</v>
      </c>
      <c r="C83" s="233" t="s">
        <v>139</v>
      </c>
      <c r="D83" s="238">
        <f>ROUNDUP(D82*0.2,0)</f>
        <v>2849</v>
      </c>
      <c r="E83" s="240">
        <f>ROUNDUP(E82*0.2,0)</f>
        <v>1995</v>
      </c>
      <c r="F83" s="238">
        <f>ROUNDUP(F82*0.2,0)</f>
        <v>1397</v>
      </c>
      <c r="G83" s="240">
        <f>ROUNDUP(G82*0.2,0)</f>
        <v>978</v>
      </c>
      <c r="H83" s="88">
        <v>0.2</v>
      </c>
      <c r="I83" s="241"/>
    </row>
    <row r="84" spans="1:9" ht="41.25" customHeight="1" outlineLevel="1" thickBot="1" x14ac:dyDescent="0.3">
      <c r="A84" s="70">
        <v>71</v>
      </c>
      <c r="B84" s="84" t="str">
        <f>CONCATENATE(O2,B82,Q4)</f>
        <v>Сертификат активации сервиса прямой технической поддержки  уровня "Стандартный" на 3 года для: «Лицензия на право использования программного комплекса СКРД на сервере «Diamond ACS Agent Server». За 1 клиента бессрочно»</v>
      </c>
      <c r="C84" s="233" t="s">
        <v>635</v>
      </c>
      <c r="D84" s="231">
        <f>ROUNDUP(D83*0.97*3,0)</f>
        <v>8291</v>
      </c>
      <c r="E84" s="231">
        <f>ROUNDUP(E83*0.97*3,0)</f>
        <v>5806</v>
      </c>
      <c r="F84" s="231">
        <f>ROUNDUP(F83*0.97*3,0)</f>
        <v>4066</v>
      </c>
      <c r="G84" s="231">
        <f>ROUNDUP(G83*0.97*3,0)</f>
        <v>2846</v>
      </c>
      <c r="H84" s="88">
        <v>0.2</v>
      </c>
      <c r="I84" s="241"/>
    </row>
    <row r="85" spans="1:9" ht="41.25" customHeight="1" outlineLevel="1" thickBot="1" x14ac:dyDescent="0.3">
      <c r="A85" s="70">
        <v>72</v>
      </c>
      <c r="B85" s="84" t="str">
        <f>CONCATENATE(O3,B82,Q4)</f>
        <v>Сертификат активации сервиса прямой технической поддержки  уровня "Стандартный" на 5 лет для: «Лицензия на право использования программного комплекса СКРД на сервере «Diamond ACS Agent Server». За 1 клиента бессрочно»</v>
      </c>
      <c r="C85" s="233" t="s">
        <v>636</v>
      </c>
      <c r="D85" s="231">
        <f>ROUNDUP(D83*0.95*5,0)</f>
        <v>13533</v>
      </c>
      <c r="E85" s="231">
        <f>ROUNDUP(E83*0.95*5,0)</f>
        <v>9477</v>
      </c>
      <c r="F85" s="231">
        <f>ROUNDUP(F83*0.95*5,0)</f>
        <v>6636</v>
      </c>
      <c r="G85" s="231">
        <f>ROUNDUP(G83*0.95*5,0)</f>
        <v>4646</v>
      </c>
      <c r="H85" s="88">
        <v>0.2</v>
      </c>
      <c r="I85" s="241"/>
    </row>
    <row r="86" spans="1:9" ht="62.25" customHeight="1" thickBot="1" x14ac:dyDescent="0.3">
      <c r="A86" s="70"/>
      <c r="B86" s="39" t="s">
        <v>1702</v>
      </c>
      <c r="C86" s="37"/>
      <c r="D86" s="115"/>
      <c r="E86" s="115"/>
      <c r="F86" s="115"/>
      <c r="G86" s="115"/>
      <c r="H86" s="41"/>
      <c r="I86" s="63" t="s">
        <v>887</v>
      </c>
    </row>
    <row r="87" spans="1:9" ht="28.5" customHeight="1" thickBot="1" x14ac:dyDescent="0.3">
      <c r="A87" s="70">
        <v>73</v>
      </c>
      <c r="B87" s="160" t="s">
        <v>1703</v>
      </c>
      <c r="C87" s="163" t="s">
        <v>135</v>
      </c>
      <c r="D87" s="156">
        <f>ROUNDUP(D89/2,0)</f>
        <v>7624</v>
      </c>
      <c r="E87" s="156">
        <f>ROUNDUP(D87*0.7,0)</f>
        <v>5337</v>
      </c>
      <c r="F87" s="156">
        <f>ROUNDUP(E87*0.7,0)</f>
        <v>3736</v>
      </c>
      <c r="G87" s="156">
        <f>ROUNDUP(F87*0.7,0)</f>
        <v>2616</v>
      </c>
      <c r="H87" s="159" t="s">
        <v>4</v>
      </c>
      <c r="I87" s="262"/>
    </row>
    <row r="88" spans="1:9" ht="42.75" customHeight="1" outlineLevel="1" thickBot="1" x14ac:dyDescent="0.3">
      <c r="A88" s="70">
        <v>74</v>
      </c>
      <c r="B88" s="84" t="str">
        <f>CONCATENATE(O1,B87,Q4)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системы контроля и разграничения доступа на сетевой рабочей станции «Diamond ACS Agent Linux». За 1 клиента на 1 год»</v>
      </c>
      <c r="C88" s="233" t="s">
        <v>141</v>
      </c>
      <c r="D88" s="238">
        <f>ROUNDUP(D87*0.2,0)</f>
        <v>1525</v>
      </c>
      <c r="E88" s="238">
        <f>ROUNDUP(E87*0.2,0)</f>
        <v>1068</v>
      </c>
      <c r="F88" s="238">
        <f>ROUNDUP(F87*0.2,0)</f>
        <v>748</v>
      </c>
      <c r="G88" s="238">
        <f>ROUNDUP(G87*0.2,0)</f>
        <v>524</v>
      </c>
      <c r="H88" s="88">
        <v>0.2</v>
      </c>
      <c r="I88" s="241"/>
    </row>
    <row r="89" spans="1:9" ht="28.5" customHeight="1" thickBot="1" x14ac:dyDescent="0.3">
      <c r="A89" s="70">
        <v>75</v>
      </c>
      <c r="B89" s="160" t="s">
        <v>1704</v>
      </c>
      <c r="C89" s="163" t="s">
        <v>136</v>
      </c>
      <c r="D89" s="156">
        <f>ROUNDUP(14660*1.04,0)</f>
        <v>15247</v>
      </c>
      <c r="E89" s="156">
        <f>ROUNDUP(D89*0.7,0)</f>
        <v>10673</v>
      </c>
      <c r="F89" s="156">
        <f>ROUNDUP(E89*0.7,0)</f>
        <v>7472</v>
      </c>
      <c r="G89" s="156">
        <f>ROUNDUP(F89*0.7,0)</f>
        <v>5231</v>
      </c>
      <c r="H89" s="159" t="s">
        <v>4</v>
      </c>
      <c r="I89" s="164"/>
    </row>
    <row r="90" spans="1:9" ht="42.75" customHeight="1" outlineLevel="1" thickBot="1" x14ac:dyDescent="0.3">
      <c r="A90" s="70">
        <v>76</v>
      </c>
      <c r="B90" s="84" t="str">
        <f>CONCATENATE(O1,B89,Q4)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системы контроля и разграничения доступа на сетевой рабочей станции «Diamond ACS Agent Linux». За 1 клиента на 3 года»</v>
      </c>
      <c r="C90" s="233" t="s">
        <v>143</v>
      </c>
      <c r="D90" s="238">
        <f>ROUNDUP(D89*0.2,0)</f>
        <v>3050</v>
      </c>
      <c r="E90" s="240">
        <f>ROUNDUP(E89*0.2,0)</f>
        <v>2135</v>
      </c>
      <c r="F90" s="240">
        <f>ROUNDUP(F89*0.2,0)</f>
        <v>1495</v>
      </c>
      <c r="G90" s="240">
        <f>ROUNDUP(G89*0.2,0)</f>
        <v>1047</v>
      </c>
      <c r="H90" s="88">
        <v>0.2</v>
      </c>
      <c r="I90" s="241"/>
    </row>
    <row r="91" spans="1:9" ht="42.75" customHeight="1" outlineLevel="1" thickBot="1" x14ac:dyDescent="0.3">
      <c r="A91" s="70">
        <v>77</v>
      </c>
      <c r="B91" s="84" t="str">
        <f>CONCATENATE(O2,B89,Q4)</f>
        <v>Сертификат активации сервиса прямой технической поддержки  уровня "Стандартный" на 3 года для: «Лицензия на право использования программного комплекса системы контроля и разграничения доступа на сетевой рабочей станции «Diamond ACS Agent Linux». За 1 клиента на 3 года»</v>
      </c>
      <c r="C91" s="233" t="s">
        <v>637</v>
      </c>
      <c r="D91" s="240">
        <f>ROUNDUP(D90*0.97*3,0)</f>
        <v>8876</v>
      </c>
      <c r="E91" s="240">
        <f>ROUNDUP(E90*0.97*3,0)</f>
        <v>6213</v>
      </c>
      <c r="F91" s="240">
        <f>ROUNDUP(F90*0.97*3,0)</f>
        <v>4351</v>
      </c>
      <c r="G91" s="240">
        <f>ROUNDUP(G90*0.97*3,0)</f>
        <v>3047</v>
      </c>
      <c r="H91" s="88">
        <v>0.2</v>
      </c>
      <c r="I91" s="241"/>
    </row>
    <row r="92" spans="1:9" ht="28.5" customHeight="1" thickBot="1" x14ac:dyDescent="0.3">
      <c r="A92" s="70">
        <v>78</v>
      </c>
      <c r="B92" s="160" t="s">
        <v>1705</v>
      </c>
      <c r="C92" s="163" t="s">
        <v>137</v>
      </c>
      <c r="D92" s="156">
        <f>ROUNDUP(D89*1.5,0)</f>
        <v>22871</v>
      </c>
      <c r="E92" s="156">
        <f>ROUNDUP(D92*0.7,0)</f>
        <v>16010</v>
      </c>
      <c r="F92" s="156">
        <f>ROUNDUP(E92*0.7,0)</f>
        <v>11207</v>
      </c>
      <c r="G92" s="156">
        <f>ROUNDUP(F92*0.7,0)</f>
        <v>7845</v>
      </c>
      <c r="H92" s="159" t="s">
        <v>4</v>
      </c>
      <c r="I92" s="164"/>
    </row>
    <row r="93" spans="1:9" ht="42.75" customHeight="1" outlineLevel="1" thickBot="1" x14ac:dyDescent="0.3">
      <c r="A93" s="70">
        <v>79</v>
      </c>
      <c r="B93" s="84" t="str">
        <f>CONCATENATE(O1,B92,Q4)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системы контроля и разграничения доступа на сетевой рабочей станции «Diamond ACS Agent Linux». За 1 клиента бессрочно»</v>
      </c>
      <c r="C93" s="233" t="s">
        <v>145</v>
      </c>
      <c r="D93" s="238">
        <f>ROUNDUP(D92*0.2,0)</f>
        <v>4575</v>
      </c>
      <c r="E93" s="238">
        <f>ROUNDUP(E92*0.2,0)</f>
        <v>3202</v>
      </c>
      <c r="F93" s="238">
        <f>ROUNDUP(F92*0.2,0)</f>
        <v>2242</v>
      </c>
      <c r="G93" s="238">
        <f>ROUNDUP(G92*0.2,0)</f>
        <v>1569</v>
      </c>
      <c r="H93" s="88">
        <v>0.2</v>
      </c>
      <c r="I93" s="241"/>
    </row>
    <row r="94" spans="1:9" ht="42.75" customHeight="1" outlineLevel="1" thickBot="1" x14ac:dyDescent="0.3">
      <c r="A94" s="70">
        <v>80</v>
      </c>
      <c r="B94" s="84" t="str">
        <f>CONCATENATE(O2,B92,Q4)</f>
        <v>Сертификат активации сервиса прямой технической поддержки  уровня "Стандартный" на 3 года для: «Лицензия на право использования программного комплекса системы контроля и разграничения доступа на сетевой рабочей станции «Diamond ACS Agent Linux». За 1 клиента бессрочно»</v>
      </c>
      <c r="C94" s="233" t="s">
        <v>638</v>
      </c>
      <c r="D94" s="238">
        <f>ROUNDUP(D93*0.97*3,0)</f>
        <v>13314</v>
      </c>
      <c r="E94" s="238">
        <f>ROUNDUP(E93*0.97*3,0)</f>
        <v>9318</v>
      </c>
      <c r="F94" s="238">
        <f>ROUNDUP(F93*0.97*3,0)</f>
        <v>6525</v>
      </c>
      <c r="G94" s="238">
        <f>ROUNDUP(G93*0.97*3,0)</f>
        <v>4566</v>
      </c>
      <c r="H94" s="88">
        <v>0.2</v>
      </c>
      <c r="I94" s="241"/>
    </row>
    <row r="95" spans="1:9" ht="42.75" customHeight="1" outlineLevel="1" thickBot="1" x14ac:dyDescent="0.3">
      <c r="A95" s="70">
        <v>81</v>
      </c>
      <c r="B95" s="84" t="str">
        <f>CONCATENATE(O3,B92,Q4)</f>
        <v>Сертификат активации сервиса прямой технической поддержки  уровня "Стандартный" на 5 лет для: «Лицензия на право использования программного комплекса системы контроля и разграничения доступа на сетевой рабочей станции «Diamond ACS Agent Linux». За 1 клиента бессрочно»</v>
      </c>
      <c r="C95" s="233" t="s">
        <v>639</v>
      </c>
      <c r="D95" s="238">
        <f>ROUNDUP(D93*0.95*5,0)</f>
        <v>21732</v>
      </c>
      <c r="E95" s="238">
        <f>ROUNDUP(E93*0.95*5,0)</f>
        <v>15210</v>
      </c>
      <c r="F95" s="238">
        <f>ROUNDUP(F93*0.95*5,0)</f>
        <v>10650</v>
      </c>
      <c r="G95" s="238">
        <f>ROUNDUP(G93*0.95*5,0)</f>
        <v>7453</v>
      </c>
      <c r="H95" s="88">
        <v>0.2</v>
      </c>
      <c r="I95" s="241"/>
    </row>
    <row r="96" spans="1:9" ht="37.5" customHeight="1" thickBot="1" x14ac:dyDescent="0.3">
      <c r="A96" s="70"/>
      <c r="B96" s="135" t="s">
        <v>915</v>
      </c>
      <c r="C96" s="37"/>
      <c r="D96" s="115"/>
      <c r="E96" s="116"/>
      <c r="F96" s="116"/>
      <c r="G96" s="116"/>
      <c r="H96" s="40"/>
      <c r="I96" s="63" t="s">
        <v>5</v>
      </c>
    </row>
    <row r="97" spans="1:9" ht="28.5" customHeight="1" thickBot="1" x14ac:dyDescent="0.3">
      <c r="A97" s="70">
        <v>82</v>
      </c>
      <c r="B97" s="160" t="s">
        <v>1341</v>
      </c>
      <c r="C97" s="163" t="s">
        <v>121</v>
      </c>
      <c r="D97" s="156">
        <f>ROUNDUP(D99/2,0)</f>
        <v>4033</v>
      </c>
      <c r="E97" s="156">
        <f>ROUNDUP(D97*0.7,0)</f>
        <v>2824</v>
      </c>
      <c r="F97" s="156">
        <f>ROUNDUP(E97*0.7,0)</f>
        <v>1977</v>
      </c>
      <c r="G97" s="156">
        <f>ROUNDUP(F97*0.7,0)</f>
        <v>1384</v>
      </c>
      <c r="H97" s="162" t="s">
        <v>4</v>
      </c>
      <c r="I97" s="262"/>
    </row>
    <row r="98" spans="1:9" ht="42.75" customHeight="1" outlineLevel="1" thickBot="1" x14ac:dyDescent="0.3">
      <c r="A98" s="70">
        <v>83</v>
      </c>
      <c r="B98" s="84" t="str">
        <f>CONCATENATE(O1,B97,Q4)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системы контроля и разграничения доступа на сетевой рабочей станции«Diamond ACS Agent Windows Workstation Net». За 1 клиента на 1 год »</v>
      </c>
      <c r="C98" s="233" t="s">
        <v>319</v>
      </c>
      <c r="D98" s="238">
        <f>ROUNDUP(D97*0.2,0)</f>
        <v>807</v>
      </c>
      <c r="E98" s="238">
        <f>ROUNDUP(E97*0.2,0)</f>
        <v>565</v>
      </c>
      <c r="F98" s="238">
        <f>ROUNDUP(F97*0.2,0)</f>
        <v>396</v>
      </c>
      <c r="G98" s="238">
        <f>ROUNDUP(G97*0.2,0)</f>
        <v>277</v>
      </c>
      <c r="H98" s="88">
        <v>0.2</v>
      </c>
      <c r="I98" s="241"/>
    </row>
    <row r="99" spans="1:9" ht="28.5" customHeight="1" thickBot="1" x14ac:dyDescent="0.3">
      <c r="A99" s="70">
        <v>84</v>
      </c>
      <c r="B99" s="160" t="s">
        <v>1342</v>
      </c>
      <c r="C99" s="163" t="s">
        <v>140</v>
      </c>
      <c r="D99" s="156">
        <f>ROUNDUP(7755*1.04,0)</f>
        <v>8066</v>
      </c>
      <c r="E99" s="155">
        <f>ROUNDUP(D99*0.7,0)</f>
        <v>5647</v>
      </c>
      <c r="F99" s="155">
        <f>ROUNDUP(E99*0.7,0)</f>
        <v>3953</v>
      </c>
      <c r="G99" s="155">
        <f>ROUNDUP(F99*0.7,0)</f>
        <v>2768</v>
      </c>
      <c r="H99" s="162" t="s">
        <v>4</v>
      </c>
      <c r="I99" s="164"/>
    </row>
    <row r="100" spans="1:9" ht="42.75" customHeight="1" outlineLevel="1" thickBot="1" x14ac:dyDescent="0.3">
      <c r="A100" s="70">
        <v>85</v>
      </c>
      <c r="B100" s="84" t="str">
        <f>CONCATENATE(O1,B99,Q4)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системы контроля и разграничения доступа на сетевой рабочей станции «Diamond ACS Agent Windows Workstation Net». За 1 клиента на 3 года »</v>
      </c>
      <c r="C100" s="233" t="s">
        <v>320</v>
      </c>
      <c r="D100" s="238">
        <f>ROUNDUP(D99*0.2,0)</f>
        <v>1614</v>
      </c>
      <c r="E100" s="238">
        <f>ROUNDUP(E99*0.2,0)</f>
        <v>1130</v>
      </c>
      <c r="F100" s="238">
        <f>ROUNDUP(F99*0.2,0)</f>
        <v>791</v>
      </c>
      <c r="G100" s="238">
        <f>ROUNDUP(G99*0.2,0)</f>
        <v>554</v>
      </c>
      <c r="H100" s="88">
        <v>0.2</v>
      </c>
      <c r="I100" s="241"/>
    </row>
    <row r="101" spans="1:9" ht="42.75" customHeight="1" outlineLevel="1" thickBot="1" x14ac:dyDescent="0.3">
      <c r="A101" s="70">
        <v>86</v>
      </c>
      <c r="B101" s="84" t="str">
        <f>CONCATENATE(O2,B99,Q4)</f>
        <v>Сертификат активации сервиса прямой технической поддержки  уровня "Стандартный" на 3 года для: «Лицензия на право использования программного комплекса системы контроля и разграничения доступа на сетевой рабочей станции «Diamond ACS Agent Windows Workstation Net». За 1 клиента на 3 года »</v>
      </c>
      <c r="C101" s="233" t="s">
        <v>640</v>
      </c>
      <c r="D101" s="238">
        <f>ROUNDUP(D100*0.97*3,0)</f>
        <v>4697</v>
      </c>
      <c r="E101" s="238">
        <f>ROUNDUP(E100*0.97*3,0)</f>
        <v>3289</v>
      </c>
      <c r="F101" s="238">
        <f>ROUNDUP(F100*0.97*3,0)</f>
        <v>2302</v>
      </c>
      <c r="G101" s="238">
        <f>ROUNDUP(G100*0.97*3,0)</f>
        <v>1613</v>
      </c>
      <c r="H101" s="88">
        <v>0.2</v>
      </c>
      <c r="I101" s="241"/>
    </row>
    <row r="102" spans="1:9" ht="28.5" customHeight="1" thickBot="1" x14ac:dyDescent="0.3">
      <c r="A102" s="70">
        <v>87</v>
      </c>
      <c r="B102" s="160" t="s">
        <v>1343</v>
      </c>
      <c r="C102" s="163" t="s">
        <v>142</v>
      </c>
      <c r="D102" s="156">
        <f>ROUNDUP(D99*1.5,0)</f>
        <v>12099</v>
      </c>
      <c r="E102" s="156">
        <f>ROUNDUP(D102*0.7,0)</f>
        <v>8470</v>
      </c>
      <c r="F102" s="156">
        <f>ROUNDUP(E102*0.7,0)</f>
        <v>5929</v>
      </c>
      <c r="G102" s="156">
        <f>ROUNDUP(F102*0.7,0)</f>
        <v>4151</v>
      </c>
      <c r="H102" s="162" t="s">
        <v>4</v>
      </c>
      <c r="I102" s="164"/>
    </row>
    <row r="103" spans="1:9" ht="42.75" customHeight="1" outlineLevel="1" thickBot="1" x14ac:dyDescent="0.3">
      <c r="A103" s="70">
        <v>88</v>
      </c>
      <c r="B103" s="212" t="str">
        <f>CONCATENATE(O1,B102,Q4)</f>
        <v>Сертификат активации сервиса прямой технической поддержки  уровня "Стандартный" на 1 год для: «Лицензия на право использования программного комплекса системы контроля и разграничения доступа на сетевой рабочей станции «Diamond ACS Agent Windows Workstation Net» за 1 клиента бессрочно»</v>
      </c>
      <c r="C103" s="248" t="s">
        <v>321</v>
      </c>
      <c r="D103" s="249">
        <f>ROUNDUP(D102*0.2,0)</f>
        <v>2420</v>
      </c>
      <c r="E103" s="249">
        <f>ROUNDUP(E102*0.2,0)</f>
        <v>1694</v>
      </c>
      <c r="F103" s="249">
        <f>ROUNDUP(F102*0.2,0)</f>
        <v>1186</v>
      </c>
      <c r="G103" s="249">
        <f>ROUNDUP(G102*0.2,0)</f>
        <v>831</v>
      </c>
      <c r="H103" s="151">
        <v>0.2</v>
      </c>
      <c r="I103" s="250"/>
    </row>
    <row r="104" spans="1:9" ht="42.75" customHeight="1" outlineLevel="1" thickBot="1" x14ac:dyDescent="0.3">
      <c r="A104" s="70">
        <v>89</v>
      </c>
      <c r="B104" s="212" t="str">
        <f>CONCATENATE(O2,B102,Q4)</f>
        <v>Сертификат активации сервиса прямой технической поддержки  уровня "Стандартный" на 3 года для: «Лицензия на право использования программного комплекса системы контроля и разграничения доступа на сетевой рабочей станции «Diamond ACS Agent Windows Workstation Net» за 1 клиента бессрочно»</v>
      </c>
      <c r="C104" s="248" t="s">
        <v>641</v>
      </c>
      <c r="D104" s="238">
        <f>ROUNDUP(D103*0.97*3,0)</f>
        <v>7043</v>
      </c>
      <c r="E104" s="238">
        <f>ROUNDUP(E103*0.97*3,0)</f>
        <v>4930</v>
      </c>
      <c r="F104" s="238">
        <f>ROUNDUP(F103*0.97*3,0)</f>
        <v>3452</v>
      </c>
      <c r="G104" s="238">
        <f>ROUNDUP(G103*0.97*3,0)</f>
        <v>2419</v>
      </c>
      <c r="H104" s="151">
        <v>0.2</v>
      </c>
      <c r="I104" s="241"/>
    </row>
    <row r="105" spans="1:9" ht="42.75" customHeight="1" outlineLevel="1" thickBot="1" x14ac:dyDescent="0.3">
      <c r="A105" s="70">
        <v>90</v>
      </c>
      <c r="B105" s="212" t="str">
        <f>CONCATENATE(O3,B102,Q4)</f>
        <v>Сертификат активации сервиса прямой технической поддержки  уровня "Стандартный" на 5 лет для: «Лицензия на право использования программного комплекса системы контроля и разграничения доступа на сетевой рабочей станции «Diamond ACS Agent Windows Workstation Net» за 1 клиента бессрочно»</v>
      </c>
      <c r="C105" s="248" t="s">
        <v>642</v>
      </c>
      <c r="D105" s="238">
        <f>ROUNDUP(D103*0.95*5,0)</f>
        <v>11495</v>
      </c>
      <c r="E105" s="238">
        <f>ROUNDUP(E103*0.95*5,0)</f>
        <v>8047</v>
      </c>
      <c r="F105" s="238">
        <f>ROUNDUP(F103*0.95*5,0)</f>
        <v>5634</v>
      </c>
      <c r="G105" s="238">
        <f>ROUNDUP(G103*0.95*5,0)</f>
        <v>3948</v>
      </c>
      <c r="H105" s="152">
        <v>0.2</v>
      </c>
      <c r="I105" s="251"/>
    </row>
    <row r="106" spans="1:9" ht="26.25" customHeight="1" thickBot="1" x14ac:dyDescent="0.3">
      <c r="A106" s="70"/>
      <c r="B106" s="26" t="s">
        <v>41</v>
      </c>
      <c r="C106" s="7"/>
      <c r="D106" s="113"/>
      <c r="E106" s="113"/>
      <c r="F106" s="113"/>
      <c r="G106" s="113"/>
      <c r="H106" s="8"/>
      <c r="I106" s="9"/>
    </row>
    <row r="107" spans="1:9" ht="28.5" customHeight="1" thickBot="1" x14ac:dyDescent="0.3">
      <c r="A107" s="70">
        <v>91</v>
      </c>
      <c r="B107" s="204" t="s">
        <v>42</v>
      </c>
      <c r="C107" s="49" t="s">
        <v>149</v>
      </c>
      <c r="D107" s="154">
        <f>ROUNDUP(2200*1.04,0)</f>
        <v>2288</v>
      </c>
      <c r="E107" s="261">
        <f>ROUNDUP(D107*0.95,0)</f>
        <v>2174</v>
      </c>
      <c r="F107" s="261">
        <f>ROUNDUP(E107*0.95,0)</f>
        <v>2066</v>
      </c>
      <c r="G107" s="261">
        <f>ROUNDUP(F107*0.95,0)</f>
        <v>1963</v>
      </c>
      <c r="H107" s="161">
        <v>0.2</v>
      </c>
      <c r="I107" s="53"/>
    </row>
    <row r="108" spans="1:9" ht="42.75" customHeight="1" outlineLevel="1" thickBot="1" x14ac:dyDescent="0.3">
      <c r="A108" s="70">
        <v>92</v>
      </c>
      <c r="B108" s="252" t="str">
        <f>CONCATENATE(O1,B107,Q4)</f>
        <v>Сертификат активации сервиса прямой технической поддержки  уровня "Стандартный" на 1 год для: «Специализированный вычислительный модуль «Diamond USB Key Lt». Носитель ключевой и идентифицирующей информации »</v>
      </c>
      <c r="C108" s="253" t="s">
        <v>322</v>
      </c>
      <c r="D108" s="231">
        <f>ROUNDUP(D107*0.2,0)</f>
        <v>458</v>
      </c>
      <c r="E108" s="231">
        <f>ROUNDUP(E107*0.2,0)</f>
        <v>435</v>
      </c>
      <c r="F108" s="231">
        <f>ROUNDUP(F107*0.2,0)</f>
        <v>414</v>
      </c>
      <c r="G108" s="231">
        <f>ROUNDUP(G107*0.2,0)</f>
        <v>393</v>
      </c>
      <c r="H108" s="88">
        <v>0.2</v>
      </c>
      <c r="I108" s="232"/>
    </row>
    <row r="109" spans="1:9" ht="42.75" customHeight="1" outlineLevel="1" thickBot="1" x14ac:dyDescent="0.3">
      <c r="A109" s="70">
        <v>93</v>
      </c>
      <c r="B109" s="252" t="str">
        <f>CONCATENATE(O2,B107,Q4)</f>
        <v>Сертификат активации сервиса прямой технической поддержки  уровня "Стандартный" на 3 года для: «Специализированный вычислительный модуль «Diamond USB Key Lt». Носитель ключевой и идентифицирующей информации »</v>
      </c>
      <c r="C109" s="253" t="s">
        <v>643</v>
      </c>
      <c r="D109" s="231">
        <f>ROUNDUP(D108*0.97*3,0)</f>
        <v>1333</v>
      </c>
      <c r="E109" s="231">
        <f>ROUNDUP(E108*0.97*3,0)</f>
        <v>1266</v>
      </c>
      <c r="F109" s="231">
        <f>ROUNDUP(F108*0.97*3,0)</f>
        <v>1205</v>
      </c>
      <c r="G109" s="231">
        <f>ROUNDUP(G108*0.97*3,0)</f>
        <v>1144</v>
      </c>
      <c r="H109" s="88">
        <v>0.2</v>
      </c>
      <c r="I109" s="232"/>
    </row>
    <row r="110" spans="1:9" ht="42.75" customHeight="1" outlineLevel="1" thickBot="1" x14ac:dyDescent="0.3">
      <c r="A110" s="70">
        <v>94</v>
      </c>
      <c r="B110" s="252" t="str">
        <f>CONCATENATE(O3,B107,Q4)</f>
        <v>Сертификат активации сервиса прямой технической поддержки  уровня "Стандартный" на 5 лет для: «Специализированный вычислительный модуль «Diamond USB Key Lt». Носитель ключевой и идентифицирующей информации »</v>
      </c>
      <c r="C110" s="253" t="s">
        <v>644</v>
      </c>
      <c r="D110" s="231">
        <f>ROUNDUP(D108*0.95*5,0)</f>
        <v>2176</v>
      </c>
      <c r="E110" s="231">
        <f>ROUNDUP(E108*0.95*5,0)</f>
        <v>2067</v>
      </c>
      <c r="F110" s="231">
        <f>ROUNDUP(F108*0.95*5,0)</f>
        <v>1967</v>
      </c>
      <c r="G110" s="231">
        <f>ROUNDUP(G108*0.95*5,0)</f>
        <v>1867</v>
      </c>
      <c r="H110" s="88">
        <v>0.2</v>
      </c>
      <c r="I110" s="232"/>
    </row>
    <row r="111" spans="1:9" ht="28.5" customHeight="1" thickBot="1" x14ac:dyDescent="0.3">
      <c r="A111" s="70">
        <v>95</v>
      </c>
      <c r="B111" s="136" t="s">
        <v>1384</v>
      </c>
      <c r="C111" s="43" t="s">
        <v>150</v>
      </c>
      <c r="D111" s="156">
        <f>ROUNDUP(11725*1.04,0)</f>
        <v>12194</v>
      </c>
      <c r="E111" s="261">
        <f>ROUNDUP(D111*0.9,0)</f>
        <v>10975</v>
      </c>
      <c r="F111" s="261">
        <f>ROUNDUP(E111*0.9,0)</f>
        <v>9878</v>
      </c>
      <c r="G111" s="261">
        <f>ROUNDUP(F111*0.9,0)</f>
        <v>8891</v>
      </c>
      <c r="H111" s="161">
        <v>0.2</v>
      </c>
      <c r="I111" s="47" t="s">
        <v>6</v>
      </c>
    </row>
    <row r="112" spans="1:9" ht="39.75" customHeight="1" outlineLevel="1" thickBot="1" x14ac:dyDescent="0.3">
      <c r="A112" s="70">
        <v>96</v>
      </c>
      <c r="B112" s="254" t="str">
        <f>CONCATENATE(O1,B111,Q4)</f>
        <v>Сертификат активации сервиса прямой технической поддержки  уровня "Стандартный" на 1 год для: «Аппаратный модуль для системы контроля и разграничения доступа на рабочей станции в сети «Diamond ACS HW» PCI »</v>
      </c>
      <c r="C112" s="253" t="s">
        <v>323</v>
      </c>
      <c r="D112" s="238">
        <f>ROUNDUP(D111*0.2,0)</f>
        <v>2439</v>
      </c>
      <c r="E112" s="238">
        <f>ROUNDUP(E111*0.2,0)</f>
        <v>2195</v>
      </c>
      <c r="F112" s="238">
        <f>ROUNDUP(F111*0.2,0)</f>
        <v>1976</v>
      </c>
      <c r="G112" s="238">
        <f>ROUNDUP(G111*0.2,0)</f>
        <v>1779</v>
      </c>
      <c r="H112" s="88">
        <v>0.2</v>
      </c>
      <c r="I112" s="234"/>
    </row>
    <row r="113" spans="1:9" ht="39.75" customHeight="1" outlineLevel="1" thickBot="1" x14ac:dyDescent="0.3">
      <c r="A113" s="70">
        <v>97</v>
      </c>
      <c r="B113" s="254" t="str">
        <f>CONCATENATE(O2,B111,Q4)</f>
        <v>Сертификат активации сервиса прямой технической поддержки  уровня "Стандартный" на 3 года для: «Аппаратный модуль для системы контроля и разграничения доступа на рабочей станции в сети «Diamond ACS HW» PCI »</v>
      </c>
      <c r="C113" s="253" t="s">
        <v>645</v>
      </c>
      <c r="D113" s="231">
        <f>ROUNDUP(D112*0.97*3,0)</f>
        <v>7098</v>
      </c>
      <c r="E113" s="231">
        <f>ROUNDUP(E112*0.97*3,0)</f>
        <v>6388</v>
      </c>
      <c r="F113" s="231">
        <f>ROUNDUP(F112*0.97*3,0)</f>
        <v>5751</v>
      </c>
      <c r="G113" s="231">
        <f>ROUNDUP(G112*0.97*3,0)</f>
        <v>5177</v>
      </c>
      <c r="H113" s="88">
        <v>0.2</v>
      </c>
      <c r="I113" s="234"/>
    </row>
    <row r="114" spans="1:9" ht="39.75" customHeight="1" outlineLevel="1" thickBot="1" x14ac:dyDescent="0.3">
      <c r="A114" s="70">
        <v>98</v>
      </c>
      <c r="B114" s="254" t="str">
        <f>CONCATENATE(O3,B111,Q4)</f>
        <v>Сертификат активации сервиса прямой технической поддержки  уровня "Стандартный" на 5 лет для: «Аппаратный модуль для системы контроля и разграничения доступа на рабочей станции в сети «Diamond ACS HW» PCI »</v>
      </c>
      <c r="C114" s="253" t="s">
        <v>646</v>
      </c>
      <c r="D114" s="231">
        <f>ROUNDUP(D112*0.95*5,0)</f>
        <v>11586</v>
      </c>
      <c r="E114" s="231">
        <f>ROUNDUP(E112*0.95*5,0)</f>
        <v>10427</v>
      </c>
      <c r="F114" s="231">
        <f>ROUNDUP(F112*0.95*5,0)</f>
        <v>9386</v>
      </c>
      <c r="G114" s="231">
        <f>ROUNDUP(G112*0.95*5,0)</f>
        <v>8451</v>
      </c>
      <c r="H114" s="88">
        <v>0.2</v>
      </c>
      <c r="I114" s="234"/>
    </row>
    <row r="115" spans="1:9" ht="28.5" customHeight="1" thickBot="1" x14ac:dyDescent="0.3">
      <c r="A115" s="70">
        <v>99</v>
      </c>
      <c r="B115" s="136" t="s">
        <v>1385</v>
      </c>
      <c r="C115" s="49" t="s">
        <v>151</v>
      </c>
      <c r="D115" s="156">
        <f>ROUNDUP(11725*1.04,0)</f>
        <v>12194</v>
      </c>
      <c r="E115" s="261">
        <f>ROUNDUP(D115*0.9,0)</f>
        <v>10975</v>
      </c>
      <c r="F115" s="261">
        <f>ROUNDUP(E115*0.9,0)</f>
        <v>9878</v>
      </c>
      <c r="G115" s="261">
        <f>ROUNDUP(F115*0.9,0)</f>
        <v>8891</v>
      </c>
      <c r="H115" s="161">
        <v>0.2</v>
      </c>
      <c r="I115" s="47" t="s">
        <v>6</v>
      </c>
    </row>
    <row r="116" spans="1:9" ht="39.75" customHeight="1" outlineLevel="1" thickBot="1" x14ac:dyDescent="0.3">
      <c r="A116" s="70">
        <v>100</v>
      </c>
      <c r="B116" s="254" t="str">
        <f>CONCATENATE(O1,B115,Q4)</f>
        <v>Сертификат активации сервиса прямой технической поддержки  уровня "Стандартный" на 1 год для: «Аппаратный модуль для системы контроля и разграничения доступа на рабочей станции в сети «Diamond ACS HW» PCI-E »</v>
      </c>
      <c r="C116" s="253" t="s">
        <v>324</v>
      </c>
      <c r="D116" s="238">
        <f>ROUNDUP(D115*0.2,0)</f>
        <v>2439</v>
      </c>
      <c r="E116" s="238">
        <f>ROUNDUP(E115*0.2,0)</f>
        <v>2195</v>
      </c>
      <c r="F116" s="238">
        <f>ROUNDUP(F115*0.2,0)</f>
        <v>1976</v>
      </c>
      <c r="G116" s="238">
        <f>ROUNDUP(G115*0.2,0)</f>
        <v>1779</v>
      </c>
      <c r="H116" s="88">
        <v>0.2</v>
      </c>
      <c r="I116" s="234"/>
    </row>
    <row r="117" spans="1:9" ht="39.75" customHeight="1" outlineLevel="1" thickBot="1" x14ac:dyDescent="0.3">
      <c r="A117" s="70">
        <v>101</v>
      </c>
      <c r="B117" s="254" t="str">
        <f>CONCATENATE(O2,B115,Q4)</f>
        <v>Сертификат активации сервиса прямой технической поддержки  уровня "Стандартный" на 3 года для: «Аппаратный модуль для системы контроля и разграничения доступа на рабочей станции в сети «Diamond ACS HW» PCI-E »</v>
      </c>
      <c r="C117" s="253" t="s">
        <v>620</v>
      </c>
      <c r="D117" s="231">
        <f>ROUNDUP(D116*0.97*3,0)</f>
        <v>7098</v>
      </c>
      <c r="E117" s="231">
        <f>ROUNDUP(E116*0.97*3,0)</f>
        <v>6388</v>
      </c>
      <c r="F117" s="231">
        <f>ROUNDUP(F116*0.97*3,0)</f>
        <v>5751</v>
      </c>
      <c r="G117" s="231">
        <f>ROUNDUP(G116*0.97*3,0)</f>
        <v>5177</v>
      </c>
      <c r="H117" s="88">
        <v>0.2</v>
      </c>
      <c r="I117" s="234"/>
    </row>
    <row r="118" spans="1:9" ht="39.75" customHeight="1" outlineLevel="1" thickBot="1" x14ac:dyDescent="0.3">
      <c r="A118" s="70">
        <v>102</v>
      </c>
      <c r="B118" s="254" t="str">
        <f>CONCATENATE(O3,B115,Q4)</f>
        <v>Сертификат активации сервиса прямой технической поддержки  уровня "Стандартный" на 5 лет для: «Аппаратный модуль для системы контроля и разграничения доступа на рабочей станции в сети «Diamond ACS HW» PCI-E »</v>
      </c>
      <c r="C118" s="253" t="s">
        <v>621</v>
      </c>
      <c r="D118" s="231">
        <f>ROUNDUP(D116*0.95*5,0)</f>
        <v>11586</v>
      </c>
      <c r="E118" s="231">
        <f>ROUNDUP(E116*0.95*5,0)</f>
        <v>10427</v>
      </c>
      <c r="F118" s="231">
        <f>ROUNDUP(F116*0.95*5,0)</f>
        <v>9386</v>
      </c>
      <c r="G118" s="231">
        <f>ROUNDUP(G116*0.95*5,0)</f>
        <v>8451</v>
      </c>
      <c r="H118" s="88">
        <v>0.2</v>
      </c>
      <c r="I118" s="234"/>
    </row>
    <row r="119" spans="1:9" ht="28.5" customHeight="1" thickBot="1" x14ac:dyDescent="0.3">
      <c r="A119" s="70">
        <v>103</v>
      </c>
      <c r="B119" s="136" t="s">
        <v>1386</v>
      </c>
      <c r="C119" s="43" t="s">
        <v>152</v>
      </c>
      <c r="D119" s="156">
        <f>ROUNDUP(11010*1.04,0)</f>
        <v>11451</v>
      </c>
      <c r="E119" s="261">
        <f>ROUNDUP(D119*0.9,0)</f>
        <v>10306</v>
      </c>
      <c r="F119" s="261">
        <f>ROUNDUP(E119*0.9,0)</f>
        <v>9276</v>
      </c>
      <c r="G119" s="261">
        <f>ROUNDUP(F119*0.9,0)</f>
        <v>8349</v>
      </c>
      <c r="H119" s="161">
        <v>0.2</v>
      </c>
      <c r="I119" s="47" t="s">
        <v>7</v>
      </c>
    </row>
    <row r="120" spans="1:9" ht="39.75" customHeight="1" outlineLevel="1" thickBot="1" x14ac:dyDescent="0.3">
      <c r="A120" s="70">
        <v>104</v>
      </c>
      <c r="B120" s="254" t="str">
        <f>CONCATENATE(O1,B119,Q4)</f>
        <v>Сертификат активации сервиса прямой технической поддержки  уровня "Стандартный" на 1 год для: «Аппаратный модуль для системы контроля и разграничения доступа на рабочей станции в сети «Diamond ACS HW» miniPCI-E»</v>
      </c>
      <c r="C120" s="253" t="s">
        <v>353</v>
      </c>
      <c r="D120" s="238">
        <f>ROUNDUP(D119*0.2,0)</f>
        <v>2291</v>
      </c>
      <c r="E120" s="238">
        <f>ROUNDUP(E119*0.2,0)</f>
        <v>2062</v>
      </c>
      <c r="F120" s="238">
        <f>ROUNDUP(F119*0.2,0)</f>
        <v>1856</v>
      </c>
      <c r="G120" s="238">
        <f>ROUNDUP(G119*0.2,0)</f>
        <v>1670</v>
      </c>
      <c r="H120" s="88">
        <v>0.2</v>
      </c>
      <c r="I120" s="234"/>
    </row>
    <row r="121" spans="1:9" ht="39.75" customHeight="1" outlineLevel="1" thickBot="1" x14ac:dyDescent="0.3">
      <c r="A121" s="70">
        <v>105</v>
      </c>
      <c r="B121" s="254" t="str">
        <f>CONCATENATE(O2,B119,Q4)</f>
        <v>Сертификат активации сервиса прямой технической поддержки  уровня "Стандартный" на 3 года для: «Аппаратный модуль для системы контроля и разграничения доступа на рабочей станции в сети «Diamond ACS HW» miniPCI-E»</v>
      </c>
      <c r="C121" s="253" t="s">
        <v>647</v>
      </c>
      <c r="D121" s="231">
        <f>ROUNDUP(D120*0.97*3,0)</f>
        <v>6667</v>
      </c>
      <c r="E121" s="231">
        <f>ROUNDUP(E120*0.97*3,0)</f>
        <v>6001</v>
      </c>
      <c r="F121" s="231">
        <f>ROUNDUP(F120*0.97*3,0)</f>
        <v>5401</v>
      </c>
      <c r="G121" s="231">
        <f>ROUNDUP(G120*0.97*3,0)</f>
        <v>4860</v>
      </c>
      <c r="H121" s="88">
        <v>0.2</v>
      </c>
      <c r="I121" s="234"/>
    </row>
    <row r="122" spans="1:9" ht="39.75" customHeight="1" outlineLevel="1" thickBot="1" x14ac:dyDescent="0.3">
      <c r="A122" s="70">
        <v>106</v>
      </c>
      <c r="B122" s="254" t="str">
        <f>CONCATENATE(O3,B119,Q4)</f>
        <v>Сертификат активации сервиса прямой технической поддержки  уровня "Стандартный" на 5 лет для: «Аппаратный модуль для системы контроля и разграничения доступа на рабочей станции в сети «Diamond ACS HW» miniPCI-E»</v>
      </c>
      <c r="C122" s="253" t="s">
        <v>648</v>
      </c>
      <c r="D122" s="231">
        <f>ROUNDUP(D120*0.95*5,0)</f>
        <v>10883</v>
      </c>
      <c r="E122" s="231">
        <f>ROUNDUP(E120*0.95*5,0)</f>
        <v>9795</v>
      </c>
      <c r="F122" s="231">
        <f>ROUNDUP(F120*0.95*5,0)</f>
        <v>8816</v>
      </c>
      <c r="G122" s="231">
        <f>ROUNDUP(G120*0.95*5,0)</f>
        <v>7933</v>
      </c>
      <c r="H122" s="88">
        <v>0.2</v>
      </c>
      <c r="I122" s="234"/>
    </row>
    <row r="123" spans="1:9" ht="28.5" customHeight="1" thickBot="1" x14ac:dyDescent="0.3">
      <c r="A123" s="70">
        <v>107</v>
      </c>
      <c r="B123" s="136" t="s">
        <v>1387</v>
      </c>
      <c r="C123" s="49" t="s">
        <v>153</v>
      </c>
      <c r="D123" s="156">
        <f>ROUNDUP(9008*1.04,0)</f>
        <v>9369</v>
      </c>
      <c r="E123" s="261">
        <f>ROUNDUP(D123*0.9,0)</f>
        <v>8433</v>
      </c>
      <c r="F123" s="261">
        <f>ROUNDUP(E123*0.9,0)</f>
        <v>7590</v>
      </c>
      <c r="G123" s="261">
        <f>ROUNDUP(F123*0.9,0)</f>
        <v>6831</v>
      </c>
      <c r="H123" s="161">
        <v>0.2</v>
      </c>
      <c r="I123" s="47" t="s">
        <v>8</v>
      </c>
    </row>
    <row r="124" spans="1:9" ht="39.75" customHeight="1" outlineLevel="1" thickBot="1" x14ac:dyDescent="0.3">
      <c r="A124" s="70">
        <v>108</v>
      </c>
      <c r="B124" s="255" t="str">
        <f>CONCATENATE(O1,B123,Q4)</f>
        <v>Сертификат активации сервиса прямой технической поддержки  уровня "Стандартный" на 1 год для: «Аппаратный модуль для системы контроля и разграничения доступа на рабочей станции в сети «Diamond ACS HW Lt» PCI-E »</v>
      </c>
      <c r="C124" s="253" t="s">
        <v>354</v>
      </c>
      <c r="D124" s="238">
        <f>ROUNDUP(D123*0.2,0)</f>
        <v>1874</v>
      </c>
      <c r="E124" s="238">
        <f>ROUNDUP(E123*0.2,0)</f>
        <v>1687</v>
      </c>
      <c r="F124" s="238">
        <f>ROUNDUP(F123*0.2,0)</f>
        <v>1518</v>
      </c>
      <c r="G124" s="238">
        <f>ROUNDUP(G123*0.2,0)</f>
        <v>1367</v>
      </c>
      <c r="H124" s="88">
        <v>0.2</v>
      </c>
      <c r="I124" s="244"/>
    </row>
    <row r="125" spans="1:9" ht="39.75" customHeight="1" outlineLevel="1" thickBot="1" x14ac:dyDescent="0.3">
      <c r="A125" s="70">
        <v>109</v>
      </c>
      <c r="B125" s="255" t="str">
        <f>CONCATENATE(O2,B123,Q4)</f>
        <v>Сертификат активации сервиса прямой технической поддержки  уровня "Стандартный" на 3 года для: «Аппаратный модуль для системы контроля и разграничения доступа на рабочей станции в сети «Diamond ACS HW Lt» PCI-E »</v>
      </c>
      <c r="C125" s="253" t="s">
        <v>649</v>
      </c>
      <c r="D125" s="231">
        <f>ROUNDUP(D124*0.97*3,0)</f>
        <v>5454</v>
      </c>
      <c r="E125" s="231">
        <f>ROUNDUP(E124*0.97*3,0)</f>
        <v>4910</v>
      </c>
      <c r="F125" s="231">
        <f>ROUNDUP(F124*0.97*3,0)</f>
        <v>4418</v>
      </c>
      <c r="G125" s="231">
        <f>ROUNDUP(G124*0.97*3,0)</f>
        <v>3978</v>
      </c>
      <c r="H125" s="88">
        <v>0.2</v>
      </c>
      <c r="I125" s="244"/>
    </row>
    <row r="126" spans="1:9" ht="39.75" customHeight="1" outlineLevel="1" thickBot="1" x14ac:dyDescent="0.3">
      <c r="A126" s="70">
        <v>110</v>
      </c>
      <c r="B126" s="255" t="str">
        <f>CONCATENATE(O3,B123,Q4)</f>
        <v>Сертификат активации сервиса прямой технической поддержки  уровня "Стандартный" на 5 лет для: «Аппаратный модуль для системы контроля и разграничения доступа на рабочей станции в сети «Diamond ACS HW Lt» PCI-E »</v>
      </c>
      <c r="C126" s="253" t="s">
        <v>650</v>
      </c>
      <c r="D126" s="231">
        <f>ROUNDUP(D124*0.95*5,0)</f>
        <v>8902</v>
      </c>
      <c r="E126" s="231">
        <f>ROUNDUP(E124*0.95*5,0)</f>
        <v>8014</v>
      </c>
      <c r="F126" s="231">
        <f>ROUNDUP(F124*0.95*5,0)</f>
        <v>7211</v>
      </c>
      <c r="G126" s="231">
        <f>ROUNDUP(G124*0.95*5,0)</f>
        <v>6494</v>
      </c>
      <c r="H126" s="88">
        <v>0.2</v>
      </c>
      <c r="I126" s="244"/>
    </row>
    <row r="127" spans="1:9" ht="28.5" customHeight="1" thickBot="1" x14ac:dyDescent="0.3">
      <c r="A127" s="70">
        <v>111</v>
      </c>
      <c r="B127" s="42" t="s">
        <v>719</v>
      </c>
      <c r="C127" s="43" t="s">
        <v>154</v>
      </c>
      <c r="D127" s="156">
        <f>ROUNDUP(27741*1.04,0)</f>
        <v>28851</v>
      </c>
      <c r="E127" s="155">
        <f>ROUNDUP(D127*0.9,0)</f>
        <v>25966</v>
      </c>
      <c r="F127" s="155">
        <f>ROUNDUP(E127*0.9,0)</f>
        <v>23370</v>
      </c>
      <c r="G127" s="155">
        <f>ROUNDUP(F127*0.9,0)</f>
        <v>21033</v>
      </c>
      <c r="H127" s="161">
        <v>0.2</v>
      </c>
      <c r="I127" s="47" t="s">
        <v>444</v>
      </c>
    </row>
    <row r="128" spans="1:9" ht="25.5" customHeight="1" outlineLevel="1" thickBot="1" x14ac:dyDescent="0.3">
      <c r="A128" s="70">
        <v>112</v>
      </c>
      <c r="B128" s="34" t="str">
        <f>CONCATENATE(O1,B127,Q4)</f>
        <v>Сертификат активации сервиса прямой технической поддержки  уровня "Стандартный" на 1 год для: «Модуль Deep Virtual Secure  «Diamond ACS HW» USB»</v>
      </c>
      <c r="C128" s="256" t="s">
        <v>355</v>
      </c>
      <c r="D128" s="238">
        <f>ROUNDUP(D127*0.2,0)</f>
        <v>5771</v>
      </c>
      <c r="E128" s="238">
        <f>ROUNDUP(E127*0.2,0)</f>
        <v>5194</v>
      </c>
      <c r="F128" s="238">
        <f>ROUNDUP(F127*0.2,0)</f>
        <v>4674</v>
      </c>
      <c r="G128" s="238">
        <f>ROUNDUP(G127*0.2,0)</f>
        <v>4207</v>
      </c>
      <c r="H128" s="151">
        <v>0.2</v>
      </c>
      <c r="I128" s="234"/>
    </row>
    <row r="129" spans="1:9" ht="25.5" customHeight="1" outlineLevel="1" thickBot="1" x14ac:dyDescent="0.3">
      <c r="A129" s="70">
        <v>113</v>
      </c>
      <c r="B129" s="34" t="str">
        <f>CONCATENATE(O2,B127,Q4)</f>
        <v>Сертификат активации сервиса прямой технической поддержки  уровня "Стандартный" на 3 года для: «Модуль Deep Virtual Secure  «Diamond ACS HW» USB»</v>
      </c>
      <c r="C129" s="256" t="s">
        <v>651</v>
      </c>
      <c r="D129" s="231">
        <f>ROUNDUP(D128*0.97*3,0)</f>
        <v>16794</v>
      </c>
      <c r="E129" s="231">
        <f>ROUNDUP(E128*0.97*3,0)</f>
        <v>15115</v>
      </c>
      <c r="F129" s="231">
        <f>ROUNDUP(F128*0.97*3,0)</f>
        <v>13602</v>
      </c>
      <c r="G129" s="231">
        <f>ROUNDUP(G128*0.97*3,0)</f>
        <v>12243</v>
      </c>
      <c r="H129" s="151">
        <v>0.2</v>
      </c>
      <c r="I129" s="234"/>
    </row>
    <row r="130" spans="1:9" ht="25.5" customHeight="1" outlineLevel="1" thickBot="1" x14ac:dyDescent="0.3">
      <c r="A130" s="70">
        <v>114</v>
      </c>
      <c r="B130" s="257" t="str">
        <f>CONCATENATE(O3,B127,Q4)</f>
        <v>Сертификат активации сервиса прямой технической поддержки  уровня "Стандартный" на 5 лет для: «Модуль Deep Virtual Secure  «Diamond ACS HW» USB»</v>
      </c>
      <c r="C130" s="256" t="s">
        <v>652</v>
      </c>
      <c r="D130" s="231">
        <f>ROUNDUP(D128*0.95*5,0)</f>
        <v>27413</v>
      </c>
      <c r="E130" s="231">
        <f>ROUNDUP(E128*0.95*5,0)</f>
        <v>24672</v>
      </c>
      <c r="F130" s="231">
        <f>ROUNDUP(F128*0.95*5,0)</f>
        <v>22202</v>
      </c>
      <c r="G130" s="231">
        <f>ROUNDUP(G128*0.95*5,0)</f>
        <v>19984</v>
      </c>
      <c r="H130" s="151">
        <v>0.2</v>
      </c>
      <c r="I130" s="246"/>
    </row>
    <row r="131" spans="1:9" ht="26.25" customHeight="1" thickBot="1" x14ac:dyDescent="0.3">
      <c r="A131" s="70"/>
      <c r="B131" s="26" t="s">
        <v>9</v>
      </c>
      <c r="C131" s="7"/>
      <c r="D131" s="113"/>
      <c r="E131" s="113"/>
      <c r="F131" s="113"/>
      <c r="G131" s="113"/>
      <c r="H131" s="8"/>
      <c r="I131" s="9"/>
    </row>
    <row r="132" spans="1:9" ht="28.5" customHeight="1" thickBot="1" x14ac:dyDescent="0.3">
      <c r="A132" s="70">
        <v>115</v>
      </c>
      <c r="B132" s="167" t="s">
        <v>10</v>
      </c>
      <c r="C132" s="49" t="s">
        <v>363</v>
      </c>
      <c r="D132" s="154">
        <f>ROUNDUP(7600*1.04,0)</f>
        <v>7904</v>
      </c>
      <c r="E132" s="261">
        <f>ROUNDUP(D132*0.9,0)</f>
        <v>7114</v>
      </c>
      <c r="F132" s="261">
        <f>ROUNDUP(E132*0.9,0)</f>
        <v>6403</v>
      </c>
      <c r="G132" s="261">
        <f>ROUNDUP(F132*0.9,0)</f>
        <v>5763</v>
      </c>
      <c r="H132" s="161">
        <v>0.2</v>
      </c>
      <c r="I132" s="53" t="s">
        <v>445</v>
      </c>
    </row>
    <row r="133" spans="1:9" ht="25.5" customHeight="1" outlineLevel="1" thickBot="1" x14ac:dyDescent="0.3">
      <c r="A133" s="70">
        <v>116</v>
      </c>
      <c r="B133" s="34" t="str">
        <f>CONCATENATE(O1,B132,Q4)</f>
        <v>Сертификат активации сервиса прямой технической поддержки  уровня "Стандартный" на 1 год для: «Модуль Deep Virtual Secure для «Diamond ACS HW» PCI/PCI-E/mPCI-E»</v>
      </c>
      <c r="C133" s="253" t="s">
        <v>365</v>
      </c>
      <c r="D133" s="231">
        <f>ROUNDUP(D132*0.2,0)</f>
        <v>1581</v>
      </c>
      <c r="E133" s="231">
        <f>ROUNDUP(E132*0.2,0)</f>
        <v>1423</v>
      </c>
      <c r="F133" s="231">
        <f>ROUNDUP(F132*0.2,0)</f>
        <v>1281</v>
      </c>
      <c r="G133" s="231">
        <f>ROUNDUP(G132*0.2,0)</f>
        <v>1153</v>
      </c>
      <c r="H133" s="88">
        <v>0.2</v>
      </c>
      <c r="I133" s="232"/>
    </row>
    <row r="134" spans="1:9" ht="25.5" customHeight="1" outlineLevel="1" thickBot="1" x14ac:dyDescent="0.3">
      <c r="A134" s="70">
        <v>117</v>
      </c>
      <c r="B134" s="34" t="str">
        <f>CONCATENATE(O2,B132,Q4)</f>
        <v>Сертификат активации сервиса прямой технической поддержки  уровня "Стандартный" на 3 года для: «Модуль Deep Virtual Secure для «Diamond ACS HW» PCI/PCI-E/mPCI-E»</v>
      </c>
      <c r="C134" s="253" t="s">
        <v>653</v>
      </c>
      <c r="D134" s="231">
        <f>ROUNDUP(D133*0.97*3,0)</f>
        <v>4601</v>
      </c>
      <c r="E134" s="231">
        <f>ROUNDUP(E133*0.97*3,0)</f>
        <v>4141</v>
      </c>
      <c r="F134" s="231">
        <f>ROUNDUP(F133*0.97*3,0)</f>
        <v>3728</v>
      </c>
      <c r="G134" s="231">
        <f>ROUNDUP(G133*0.97*3,0)</f>
        <v>3356</v>
      </c>
      <c r="H134" s="88">
        <v>0.2</v>
      </c>
      <c r="I134" s="232"/>
    </row>
    <row r="135" spans="1:9" ht="25.5" customHeight="1" outlineLevel="1" thickBot="1" x14ac:dyDescent="0.3">
      <c r="A135" s="70">
        <v>118</v>
      </c>
      <c r="B135" s="34" t="str">
        <f>CONCATENATE(O3,B132,Q4)</f>
        <v>Сертификат активации сервиса прямой технической поддержки  уровня "Стандартный" на 5 лет для: «Модуль Deep Virtual Secure для «Diamond ACS HW» PCI/PCI-E/mPCI-E»</v>
      </c>
      <c r="C135" s="253" t="s">
        <v>654</v>
      </c>
      <c r="D135" s="231">
        <f>ROUNDUP(D133*0.95*5,0)</f>
        <v>7510</v>
      </c>
      <c r="E135" s="231">
        <f>ROUNDUP(E133*0.95*5,0)</f>
        <v>6760</v>
      </c>
      <c r="F135" s="231">
        <f>ROUNDUP(F133*0.95*5,0)</f>
        <v>6085</v>
      </c>
      <c r="G135" s="231">
        <f>ROUNDUP(G133*0.95*5,0)</f>
        <v>5477</v>
      </c>
      <c r="H135" s="88">
        <v>0.2</v>
      </c>
      <c r="I135" s="232"/>
    </row>
    <row r="136" spans="1:9" ht="28.5" customHeight="1" thickBot="1" x14ac:dyDescent="0.3">
      <c r="A136" s="70">
        <v>119</v>
      </c>
      <c r="B136" s="136" t="s">
        <v>11</v>
      </c>
      <c r="C136" s="43" t="s">
        <v>364</v>
      </c>
      <c r="D136" s="156">
        <f>ROUNDUP(23000*1.04,0)</f>
        <v>23920</v>
      </c>
      <c r="E136" s="261">
        <f>ROUNDUP(D136*0.9,0)</f>
        <v>21528</v>
      </c>
      <c r="F136" s="261">
        <f>ROUNDUP(E136*0.9,0)</f>
        <v>19376</v>
      </c>
      <c r="G136" s="261">
        <f>ROUNDUP(F136*0.9,0)</f>
        <v>17439</v>
      </c>
      <c r="H136" s="161">
        <v>0.2</v>
      </c>
      <c r="I136" s="47" t="s">
        <v>12</v>
      </c>
    </row>
    <row r="137" spans="1:9" ht="25.5" customHeight="1" outlineLevel="1" thickBot="1" x14ac:dyDescent="0.3">
      <c r="A137" s="70">
        <v>120</v>
      </c>
      <c r="B137" s="34" t="str">
        <f>CONCATENATE(O1,B136,Q4)</f>
        <v>Сертификат активации сервиса прямой технической поддержки  уровня "Стандартный" на 1 год для: «Модуль коммутации Ethernet для «Diamond ACS HW» PCI/PCI-E»</v>
      </c>
      <c r="C137" s="256" t="s">
        <v>366</v>
      </c>
      <c r="D137" s="238">
        <f>ROUNDUP(D136*0.2,0)</f>
        <v>4784</v>
      </c>
      <c r="E137" s="238">
        <f>ROUNDUP(E136*0.2,0)</f>
        <v>4306</v>
      </c>
      <c r="F137" s="238">
        <f>ROUNDUP(F136*0.2,0)</f>
        <v>3876</v>
      </c>
      <c r="G137" s="238">
        <f>ROUNDUP(G136*0.2,0)</f>
        <v>3488</v>
      </c>
      <c r="H137" s="151">
        <v>0.2</v>
      </c>
      <c r="I137" s="234"/>
    </row>
    <row r="138" spans="1:9" ht="25.5" customHeight="1" outlineLevel="1" thickBot="1" x14ac:dyDescent="0.3">
      <c r="A138" s="70">
        <v>121</v>
      </c>
      <c r="B138" s="34" t="str">
        <f>CONCATENATE(O2,B136,Q4)</f>
        <v>Сертификат активации сервиса прямой технической поддержки  уровня "Стандартный" на 3 года для: «Модуль коммутации Ethernet для «Diamond ACS HW» PCI/PCI-E»</v>
      </c>
      <c r="C138" s="256" t="s">
        <v>655</v>
      </c>
      <c r="D138" s="231">
        <f>ROUNDUP(D137*0.97*3,0)</f>
        <v>13922</v>
      </c>
      <c r="E138" s="231">
        <f>ROUNDUP(E137*0.97*3,0)</f>
        <v>12531</v>
      </c>
      <c r="F138" s="231">
        <f>ROUNDUP(F137*0.97*3,0)</f>
        <v>11280</v>
      </c>
      <c r="G138" s="231">
        <f>ROUNDUP(G137*0.97*3,0)</f>
        <v>10151</v>
      </c>
      <c r="H138" s="151">
        <v>0.2</v>
      </c>
      <c r="I138" s="234"/>
    </row>
    <row r="139" spans="1:9" ht="25.5" customHeight="1" outlineLevel="1" thickBot="1" x14ac:dyDescent="0.3">
      <c r="A139" s="70">
        <v>122</v>
      </c>
      <c r="B139" s="106" t="str">
        <f>CONCATENATE(O3,B136,Q4)</f>
        <v>Сертификат активации сервиса прямой технической поддержки  уровня "Стандартный" на 5 лет для: «Модуль коммутации Ethernet для «Diamond ACS HW» PCI/PCI-E»</v>
      </c>
      <c r="C139" s="269" t="s">
        <v>656</v>
      </c>
      <c r="D139" s="300">
        <f>ROUNDUP(D137*0.95*5,0)</f>
        <v>22724</v>
      </c>
      <c r="E139" s="300">
        <f>ROUNDUP(E137*0.95*5,0)</f>
        <v>20454</v>
      </c>
      <c r="F139" s="300">
        <f>ROUNDUP(F137*0.95*5,0)</f>
        <v>18411</v>
      </c>
      <c r="G139" s="300">
        <f>ROUNDUP(G137*0.95*5,0)</f>
        <v>16568</v>
      </c>
      <c r="H139" s="211">
        <v>0.2</v>
      </c>
      <c r="I139" s="244"/>
    </row>
    <row r="140" spans="1:9" ht="28.5" customHeight="1" thickBot="1" x14ac:dyDescent="0.3">
      <c r="A140" s="70">
        <v>123</v>
      </c>
      <c r="B140" s="301" t="s">
        <v>777</v>
      </c>
      <c r="C140" s="295" t="s">
        <v>778</v>
      </c>
      <c r="D140" s="302">
        <v>22400</v>
      </c>
      <c r="E140" s="309" t="s">
        <v>1382</v>
      </c>
      <c r="F140" s="303">
        <v>18000</v>
      </c>
      <c r="G140" s="303">
        <v>18000</v>
      </c>
      <c r="H140" s="304">
        <v>0.2</v>
      </c>
      <c r="I140" s="296" t="s">
        <v>1677</v>
      </c>
    </row>
    <row r="141" spans="1:9" ht="25.5" customHeight="1" thickBot="1" x14ac:dyDescent="0.3">
      <c r="A141" s="70"/>
      <c r="B141" s="26" t="s">
        <v>33</v>
      </c>
      <c r="C141" s="16"/>
      <c r="D141" s="113"/>
      <c r="E141" s="113"/>
      <c r="F141" s="113"/>
      <c r="G141" s="113"/>
      <c r="H141" s="17"/>
      <c r="I141" s="18"/>
    </row>
    <row r="142" spans="1:9" ht="27" customHeight="1" thickBot="1" x14ac:dyDescent="0.3">
      <c r="A142" s="70">
        <v>124</v>
      </c>
      <c r="B142" s="157" t="s">
        <v>1388</v>
      </c>
      <c r="C142" s="158" t="s">
        <v>179</v>
      </c>
      <c r="D142" s="124">
        <v>500</v>
      </c>
      <c r="E142" s="125">
        <f>D142*0.85</f>
        <v>425</v>
      </c>
      <c r="F142" s="125">
        <f>D142*0.85</f>
        <v>425</v>
      </c>
      <c r="G142" s="125">
        <f>ROUNDUP(D142*0.85,0)</f>
        <v>425</v>
      </c>
      <c r="H142" s="161">
        <v>0.2</v>
      </c>
      <c r="I142" s="53" t="s">
        <v>34</v>
      </c>
    </row>
    <row r="143" spans="1:9" ht="25.5" customHeight="1" thickBot="1" x14ac:dyDescent="0.3">
      <c r="A143" s="70">
        <v>125</v>
      </c>
      <c r="B143" s="160" t="s">
        <v>1389</v>
      </c>
      <c r="C143" s="163" t="s">
        <v>180</v>
      </c>
      <c r="D143" s="121">
        <v>500</v>
      </c>
      <c r="E143" s="125">
        <f>D143*0.85</f>
        <v>425</v>
      </c>
      <c r="F143" s="125">
        <f>D143*0.85</f>
        <v>425</v>
      </c>
      <c r="G143" s="125">
        <f>ROUNDUP(D143*0.85,0)</f>
        <v>425</v>
      </c>
      <c r="H143" s="161">
        <v>0.2</v>
      </c>
      <c r="I143" s="47" t="s">
        <v>34</v>
      </c>
    </row>
    <row r="144" spans="1:9" ht="25.5" customHeight="1" thickBot="1" x14ac:dyDescent="0.3">
      <c r="A144" s="70">
        <v>126</v>
      </c>
      <c r="B144" s="160" t="s">
        <v>1390</v>
      </c>
      <c r="C144" s="158" t="s">
        <v>181</v>
      </c>
      <c r="D144" s="121">
        <f>12500*1.04</f>
        <v>13000</v>
      </c>
      <c r="E144" s="122">
        <f>D144*0.85</f>
        <v>11050</v>
      </c>
      <c r="F144" s="122">
        <f t="shared" ref="F144:G145" si="1">ROUNDUP(E144*0.85,0)</f>
        <v>9393</v>
      </c>
      <c r="G144" s="122">
        <f t="shared" si="1"/>
        <v>7985</v>
      </c>
      <c r="H144" s="161">
        <v>0.2</v>
      </c>
      <c r="I144" s="47" t="s">
        <v>35</v>
      </c>
    </row>
    <row r="145" spans="1:9" ht="25.5" customHeight="1" thickBot="1" x14ac:dyDescent="0.3">
      <c r="A145" s="70">
        <v>127</v>
      </c>
      <c r="B145" s="239" t="s">
        <v>1391</v>
      </c>
      <c r="C145" s="243" t="s">
        <v>182</v>
      </c>
      <c r="D145" s="263">
        <f>12500*1.04</f>
        <v>13000</v>
      </c>
      <c r="E145" s="264">
        <f>D145*0.85</f>
        <v>11050</v>
      </c>
      <c r="F145" s="264">
        <f t="shared" si="1"/>
        <v>9393</v>
      </c>
      <c r="G145" s="264">
        <f t="shared" si="1"/>
        <v>7985</v>
      </c>
      <c r="H145" s="161">
        <v>0.2</v>
      </c>
      <c r="I145" s="138" t="s">
        <v>37</v>
      </c>
    </row>
    <row r="146" spans="1:9" ht="72.95" customHeight="1" thickBot="1" x14ac:dyDescent="0.3">
      <c r="A146" s="73"/>
      <c r="B146" s="26" t="s">
        <v>829</v>
      </c>
      <c r="C146" s="16"/>
      <c r="D146" s="17"/>
      <c r="E146" s="17"/>
      <c r="F146" s="17"/>
      <c r="G146" s="17"/>
      <c r="H146" s="17"/>
      <c r="I146" s="18" t="s">
        <v>1046</v>
      </c>
    </row>
    <row r="147" spans="1:9" ht="83.1" customHeight="1" thickBot="1" x14ac:dyDescent="0.3">
      <c r="A147" s="70">
        <v>128</v>
      </c>
      <c r="B147" s="289" t="s">
        <v>1410</v>
      </c>
      <c r="C147" s="214" t="s">
        <v>418</v>
      </c>
      <c r="D147" s="83">
        <v>0.2</v>
      </c>
      <c r="E147" s="83">
        <v>0.2</v>
      </c>
      <c r="F147" s="83">
        <v>0.2</v>
      </c>
      <c r="G147" s="83">
        <v>0.2</v>
      </c>
      <c r="H147" s="88">
        <v>0.2</v>
      </c>
      <c r="I147" s="105" t="s">
        <v>1048</v>
      </c>
    </row>
    <row r="148" spans="1:9" ht="105" customHeight="1" thickBot="1" x14ac:dyDescent="0.3">
      <c r="A148" s="70">
        <v>129</v>
      </c>
      <c r="B148" s="213" t="s">
        <v>1411</v>
      </c>
      <c r="C148" s="174" t="s">
        <v>657</v>
      </c>
      <c r="D148" s="83">
        <v>0.2</v>
      </c>
      <c r="E148" s="83">
        <v>0.2</v>
      </c>
      <c r="F148" s="83">
        <v>0.2</v>
      </c>
      <c r="G148" s="83">
        <v>0.2</v>
      </c>
      <c r="H148" s="88">
        <v>0.2</v>
      </c>
      <c r="I148" s="6" t="s">
        <v>1313</v>
      </c>
    </row>
    <row r="149" spans="1:9" ht="83.1" customHeight="1" thickBot="1" x14ac:dyDescent="0.3">
      <c r="A149" s="70">
        <v>130</v>
      </c>
      <c r="B149" s="290" t="s">
        <v>1412</v>
      </c>
      <c r="C149" s="177" t="s">
        <v>658</v>
      </c>
      <c r="D149" s="83">
        <v>0.2</v>
      </c>
      <c r="E149" s="83">
        <v>0.2</v>
      </c>
      <c r="F149" s="83">
        <v>0.2</v>
      </c>
      <c r="G149" s="83">
        <v>0.2</v>
      </c>
      <c r="H149" s="88">
        <v>0.2</v>
      </c>
      <c r="I149" s="318" t="s">
        <v>1314</v>
      </c>
    </row>
    <row r="150" spans="1:9" ht="83.1" customHeight="1" thickBot="1" x14ac:dyDescent="0.3">
      <c r="A150" s="70">
        <v>131</v>
      </c>
      <c r="B150" s="169" t="s">
        <v>1413</v>
      </c>
      <c r="C150" s="174" t="s">
        <v>419</v>
      </c>
      <c r="D150" s="13">
        <v>0.3</v>
      </c>
      <c r="E150" s="13">
        <v>0.3</v>
      </c>
      <c r="F150" s="13">
        <v>0.3</v>
      </c>
      <c r="G150" s="13">
        <v>0.3</v>
      </c>
      <c r="H150" s="88">
        <v>0.2</v>
      </c>
      <c r="I150" s="6" t="s">
        <v>1039</v>
      </c>
    </row>
    <row r="151" spans="1:9" ht="83.1" customHeight="1" thickBot="1" x14ac:dyDescent="0.3">
      <c r="A151" s="70">
        <v>132</v>
      </c>
      <c r="B151" s="169" t="s">
        <v>1414</v>
      </c>
      <c r="C151" s="174" t="s">
        <v>659</v>
      </c>
      <c r="D151" s="13">
        <v>0.3</v>
      </c>
      <c r="E151" s="13">
        <v>0.3</v>
      </c>
      <c r="F151" s="13">
        <v>0.3</v>
      </c>
      <c r="G151" s="13">
        <v>0.3</v>
      </c>
      <c r="H151" s="88">
        <v>0.2</v>
      </c>
      <c r="I151" s="6" t="s">
        <v>1320</v>
      </c>
    </row>
    <row r="152" spans="1:9" ht="83.1" customHeight="1" thickBot="1" x14ac:dyDescent="0.3">
      <c r="A152" s="70">
        <v>133</v>
      </c>
      <c r="B152" s="169" t="s">
        <v>1415</v>
      </c>
      <c r="C152" s="174" t="s">
        <v>660</v>
      </c>
      <c r="D152" s="13">
        <v>0.3</v>
      </c>
      <c r="E152" s="13">
        <v>0.3</v>
      </c>
      <c r="F152" s="13">
        <v>0.3</v>
      </c>
      <c r="G152" s="13">
        <v>0.3</v>
      </c>
      <c r="H152" s="88">
        <v>0.2</v>
      </c>
      <c r="I152" s="6" t="s">
        <v>1041</v>
      </c>
    </row>
    <row r="153" spans="1:9" ht="120" customHeight="1" thickBot="1" x14ac:dyDescent="0.3">
      <c r="A153" s="70">
        <v>134</v>
      </c>
      <c r="B153" s="170" t="s">
        <v>1416</v>
      </c>
      <c r="C153" s="175" t="s">
        <v>440</v>
      </c>
      <c r="D153" s="147">
        <v>0.35</v>
      </c>
      <c r="E153" s="147">
        <v>0.35</v>
      </c>
      <c r="F153" s="147">
        <v>0.35</v>
      </c>
      <c r="G153" s="147">
        <v>0.35</v>
      </c>
      <c r="H153" s="88">
        <v>0.2</v>
      </c>
      <c r="I153" s="6" t="s">
        <v>1043</v>
      </c>
    </row>
    <row r="154" spans="1:9" ht="120" customHeight="1" thickBot="1" x14ac:dyDescent="0.3">
      <c r="A154" s="70">
        <v>135</v>
      </c>
      <c r="B154" s="170" t="s">
        <v>1417</v>
      </c>
      <c r="C154" s="175" t="s">
        <v>661</v>
      </c>
      <c r="D154" s="147">
        <v>0.35</v>
      </c>
      <c r="E154" s="147">
        <v>0.35</v>
      </c>
      <c r="F154" s="147">
        <v>0.35</v>
      </c>
      <c r="G154" s="147">
        <v>0.35</v>
      </c>
      <c r="H154" s="88">
        <v>0.2</v>
      </c>
      <c r="I154" s="6" t="s">
        <v>1044</v>
      </c>
    </row>
    <row r="155" spans="1:9" ht="120" customHeight="1" thickBot="1" x14ac:dyDescent="0.3">
      <c r="A155" s="70">
        <v>136</v>
      </c>
      <c r="B155" s="170" t="s">
        <v>1418</v>
      </c>
      <c r="C155" s="175" t="s">
        <v>662</v>
      </c>
      <c r="D155" s="147">
        <v>0.35</v>
      </c>
      <c r="E155" s="147">
        <v>0.35</v>
      </c>
      <c r="F155" s="147">
        <v>0.35</v>
      </c>
      <c r="G155" s="147">
        <v>0.35</v>
      </c>
      <c r="H155" s="88">
        <v>0.2</v>
      </c>
      <c r="I155" s="6" t="s">
        <v>1045</v>
      </c>
    </row>
    <row r="156" spans="1:9" ht="25.5" customHeight="1" thickBot="1" x14ac:dyDescent="0.3">
      <c r="A156" s="70">
        <v>137</v>
      </c>
      <c r="B156" s="149" t="s">
        <v>1419</v>
      </c>
      <c r="C156" s="174" t="s">
        <v>441</v>
      </c>
      <c r="D156" s="110">
        <v>0.15</v>
      </c>
      <c r="E156" s="110">
        <v>0.15</v>
      </c>
      <c r="F156" s="110">
        <v>0.15</v>
      </c>
      <c r="G156" s="110">
        <v>0.15</v>
      </c>
      <c r="H156" s="88">
        <v>0.2</v>
      </c>
      <c r="I156" s="6" t="s">
        <v>1047</v>
      </c>
    </row>
    <row r="157" spans="1:9" ht="25.5" customHeight="1" thickBot="1" x14ac:dyDescent="0.3">
      <c r="A157" s="70">
        <v>138</v>
      </c>
      <c r="B157" s="150" t="s">
        <v>1420</v>
      </c>
      <c r="C157" s="176" t="s">
        <v>442</v>
      </c>
      <c r="D157" s="111">
        <v>0.25</v>
      </c>
      <c r="E157" s="111">
        <v>0.25</v>
      </c>
      <c r="F157" s="111">
        <v>0.25</v>
      </c>
      <c r="G157" s="111">
        <v>0.25</v>
      </c>
      <c r="H157" s="152">
        <v>0.2</v>
      </c>
      <c r="I157" s="14" t="s">
        <v>1047</v>
      </c>
    </row>
    <row r="158" spans="1:9" ht="26.25" customHeight="1" x14ac:dyDescent="0.25"/>
    <row r="159" spans="1:9" ht="26.25" customHeight="1" x14ac:dyDescent="0.25"/>
    <row r="160" spans="1:9" ht="38.25" customHeight="1" x14ac:dyDescent="0.25"/>
    <row r="161" spans="6:7" ht="26.25" customHeight="1" x14ac:dyDescent="0.25">
      <c r="F161" s="153"/>
    </row>
    <row r="162" spans="6:7" ht="26.25" customHeight="1" x14ac:dyDescent="0.25">
      <c r="F162" s="153"/>
      <c r="G162" s="153"/>
    </row>
    <row r="163" spans="6:7" ht="26.25" customHeight="1" x14ac:dyDescent="0.25"/>
    <row r="164" spans="6:7" ht="26.25" customHeight="1" x14ac:dyDescent="0.25"/>
    <row r="165" spans="6:7" ht="26.25" customHeight="1" x14ac:dyDescent="0.25">
      <c r="F165" s="153"/>
    </row>
    <row r="166" spans="6:7" ht="26.25" customHeight="1" x14ac:dyDescent="0.25">
      <c r="F166" s="153"/>
      <c r="G166" s="153"/>
    </row>
    <row r="167" spans="6:7" ht="26.25" customHeight="1" x14ac:dyDescent="0.25"/>
    <row r="168" spans="6:7" ht="26.25" customHeight="1" x14ac:dyDescent="0.25"/>
    <row r="169" spans="6:7" ht="26.25" customHeight="1" x14ac:dyDescent="0.25"/>
    <row r="170" spans="6:7" ht="26.25" customHeight="1" x14ac:dyDescent="0.25"/>
    <row r="171" spans="6:7" ht="26.25" customHeight="1" x14ac:dyDescent="0.25"/>
    <row r="172" spans="6:7" ht="31.5" customHeight="1" x14ac:dyDescent="0.25"/>
    <row r="173" spans="6:7" ht="26.25" customHeight="1" x14ac:dyDescent="0.25"/>
    <row r="174" spans="6:7" ht="26.25" customHeight="1" x14ac:dyDescent="0.25"/>
    <row r="175" spans="6:7" ht="26.25" customHeight="1" x14ac:dyDescent="0.25"/>
    <row r="176" spans="6:7" ht="26.25" customHeight="1" x14ac:dyDescent="0.25"/>
    <row r="188" ht="26.25" customHeight="1" x14ac:dyDescent="0.25"/>
  </sheetData>
  <mergeCells count="4">
    <mergeCell ref="H1:I7"/>
    <mergeCell ref="A1:G6"/>
    <mergeCell ref="A7:G7"/>
    <mergeCell ref="B9:I9"/>
  </mergeCell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>
    <oddHeader>&amp;F</oddHeader>
    <oddFooter>&amp;CDiamond ACS;Страница  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I34"/>
  <sheetViews>
    <sheetView showGridLines="0" showRowColHeaders="0" zoomScaleNormal="100" workbookViewId="0">
      <pane ySplit="9" topLeftCell="A25" activePane="bottomLeft" state="frozen"/>
      <selection pane="bottomLeft" activeCell="C12" sqref="C12"/>
    </sheetView>
  </sheetViews>
  <sheetFormatPr defaultRowHeight="15" x14ac:dyDescent="0.25"/>
  <cols>
    <col min="1" max="1" width="5" customWidth="1"/>
    <col min="2" max="2" width="100.7109375" customWidth="1"/>
    <col min="3" max="3" width="12.140625" customWidth="1"/>
    <col min="4" max="4" width="15.7109375" customWidth="1"/>
    <col min="5" max="5" width="11.42578125" customWidth="1"/>
    <col min="6" max="6" width="71.85546875" customWidth="1"/>
    <col min="7" max="7" width="16.140625" customWidth="1"/>
    <col min="8" max="8" width="14.28515625" customWidth="1"/>
    <col min="9" max="9" width="57.5703125" customWidth="1"/>
  </cols>
  <sheetData>
    <row r="1" spans="1:6" ht="15" customHeight="1" x14ac:dyDescent="0.25">
      <c r="A1" s="474" t="s">
        <v>1686</v>
      </c>
      <c r="B1" s="474"/>
      <c r="C1" s="474"/>
      <c r="D1" s="474"/>
      <c r="E1" s="475"/>
      <c r="F1" s="449" t="s">
        <v>40</v>
      </c>
    </row>
    <row r="2" spans="1:6" x14ac:dyDescent="0.25">
      <c r="A2" s="474"/>
      <c r="B2" s="474"/>
      <c r="C2" s="474"/>
      <c r="D2" s="474"/>
      <c r="E2" s="475"/>
      <c r="F2" s="449"/>
    </row>
    <row r="3" spans="1:6" x14ac:dyDescent="0.25">
      <c r="A3" s="474"/>
      <c r="B3" s="474"/>
      <c r="C3" s="474"/>
      <c r="D3" s="474"/>
      <c r="E3" s="475"/>
      <c r="F3" s="449"/>
    </row>
    <row r="4" spans="1:6" ht="15.75" customHeight="1" x14ac:dyDescent="0.25">
      <c r="A4" s="474"/>
      <c r="B4" s="474"/>
      <c r="C4" s="474"/>
      <c r="D4" s="474"/>
      <c r="E4" s="475"/>
      <c r="F4" s="449"/>
    </row>
    <row r="5" spans="1:6" x14ac:dyDescent="0.25">
      <c r="A5" s="474"/>
      <c r="B5" s="474"/>
      <c r="C5" s="474"/>
      <c r="D5" s="474"/>
      <c r="E5" s="475"/>
      <c r="F5" s="449"/>
    </row>
    <row r="6" spans="1:6" ht="15.75" customHeight="1" x14ac:dyDescent="0.25">
      <c r="A6" s="474"/>
      <c r="B6" s="474"/>
      <c r="C6" s="474"/>
      <c r="D6" s="474"/>
      <c r="E6" s="475"/>
      <c r="F6" s="449"/>
    </row>
    <row r="7" spans="1:6" ht="18" customHeight="1" thickBot="1" x14ac:dyDescent="0.3">
      <c r="A7" s="483" t="str">
        <f>'Diamond ACS'!A7:G7</f>
        <v>Срок действия: с 01.01.21</v>
      </c>
      <c r="B7" s="483"/>
      <c r="C7" s="483"/>
      <c r="D7" s="483"/>
      <c r="E7" s="484"/>
      <c r="F7" s="450"/>
    </row>
    <row r="8" spans="1:6" ht="39" thickBot="1" x14ac:dyDescent="0.3">
      <c r="A8" s="74" t="s">
        <v>13</v>
      </c>
      <c r="B8" s="27" t="s">
        <v>0</v>
      </c>
      <c r="C8" s="28" t="s">
        <v>1</v>
      </c>
      <c r="D8" s="28" t="s">
        <v>2</v>
      </c>
      <c r="E8" s="28" t="s">
        <v>3</v>
      </c>
      <c r="F8" s="30" t="s">
        <v>828</v>
      </c>
    </row>
    <row r="9" spans="1:6" ht="29.25" customHeight="1" thickBot="1" x14ac:dyDescent="0.3">
      <c r="A9" s="66"/>
      <c r="B9" s="141" t="s">
        <v>929</v>
      </c>
      <c r="C9" s="482" t="s">
        <v>527</v>
      </c>
      <c r="D9" s="444"/>
      <c r="E9" s="444"/>
      <c r="F9" s="445"/>
    </row>
    <row r="10" spans="1:6" ht="15.75" thickBot="1" x14ac:dyDescent="0.3">
      <c r="A10" s="70"/>
      <c r="B10" s="15" t="s">
        <v>381</v>
      </c>
      <c r="C10" s="16"/>
      <c r="D10" s="113"/>
      <c r="E10" s="17"/>
      <c r="F10" s="18" t="s">
        <v>446</v>
      </c>
    </row>
    <row r="11" spans="1:6" ht="15.75" thickBot="1" x14ac:dyDescent="0.3">
      <c r="A11" s="70"/>
      <c r="B11" s="39" t="s">
        <v>416</v>
      </c>
      <c r="C11" s="37"/>
      <c r="D11" s="115"/>
      <c r="E11" s="115"/>
      <c r="F11" s="145"/>
    </row>
    <row r="12" spans="1:6" ht="39" thickBot="1" x14ac:dyDescent="0.3">
      <c r="A12" s="215">
        <v>1</v>
      </c>
      <c r="B12" s="171" t="s">
        <v>382</v>
      </c>
      <c r="C12" s="174" t="s">
        <v>400</v>
      </c>
      <c r="D12" s="182">
        <f>3000*1.04</f>
        <v>3120</v>
      </c>
      <c r="E12" s="183">
        <v>0.2</v>
      </c>
      <c r="F12" s="108"/>
    </row>
    <row r="13" spans="1:6" ht="15.75" thickBot="1" x14ac:dyDescent="0.3">
      <c r="A13" s="215"/>
      <c r="B13" s="39" t="s">
        <v>417</v>
      </c>
      <c r="C13" s="37"/>
      <c r="D13" s="115"/>
      <c r="E13" s="115"/>
      <c r="F13" s="146"/>
    </row>
    <row r="14" spans="1:6" ht="26.25" thickBot="1" x14ac:dyDescent="0.3">
      <c r="A14" s="215">
        <v>2</v>
      </c>
      <c r="B14" s="149" t="s">
        <v>383</v>
      </c>
      <c r="C14" s="174" t="s">
        <v>401</v>
      </c>
      <c r="D14" s="182">
        <f>40000*1.04</f>
        <v>41600</v>
      </c>
      <c r="E14" s="183">
        <v>0.2</v>
      </c>
      <c r="F14" s="108"/>
    </row>
    <row r="15" spans="1:6" ht="15.75" thickBot="1" x14ac:dyDescent="0.3">
      <c r="A15" s="215"/>
      <c r="B15" s="15" t="s">
        <v>384</v>
      </c>
      <c r="C15" s="142"/>
      <c r="D15" s="113"/>
      <c r="E15" s="17"/>
      <c r="F15" s="143"/>
    </row>
    <row r="16" spans="1:6" ht="15.75" thickBot="1" x14ac:dyDescent="0.3">
      <c r="A16" s="215">
        <v>3</v>
      </c>
      <c r="B16" s="172" t="s">
        <v>438</v>
      </c>
      <c r="C16" s="174" t="s">
        <v>402</v>
      </c>
      <c r="D16" s="182">
        <f>10000*1.04</f>
        <v>10400</v>
      </c>
      <c r="E16" s="183">
        <v>0.2</v>
      </c>
      <c r="F16" s="108"/>
    </row>
    <row r="17" spans="1:6" ht="15.75" thickBot="1" x14ac:dyDescent="0.3">
      <c r="A17" s="215">
        <v>4</v>
      </c>
      <c r="B17" s="172" t="s">
        <v>439</v>
      </c>
      <c r="C17" s="174" t="s">
        <v>403</v>
      </c>
      <c r="D17" s="182">
        <f>10000*1.04</f>
        <v>10400</v>
      </c>
      <c r="E17" s="183">
        <v>0.2</v>
      </c>
      <c r="F17" s="108"/>
    </row>
    <row r="18" spans="1:6" ht="15.75" thickBot="1" x14ac:dyDescent="0.3">
      <c r="A18" s="215"/>
      <c r="B18" s="15" t="s">
        <v>385</v>
      </c>
      <c r="C18" s="142"/>
      <c r="D18" s="113"/>
      <c r="E18" s="17"/>
      <c r="F18" s="143"/>
    </row>
    <row r="19" spans="1:6" ht="15.75" thickBot="1" x14ac:dyDescent="0.3">
      <c r="A19" s="215"/>
      <c r="B19" s="39" t="s">
        <v>386</v>
      </c>
      <c r="C19" s="37"/>
      <c r="D19" s="115"/>
      <c r="E19" s="115"/>
      <c r="F19" s="145" t="s">
        <v>448</v>
      </c>
    </row>
    <row r="20" spans="1:6" ht="26.25" thickBot="1" x14ac:dyDescent="0.3">
      <c r="A20" s="216">
        <v>5</v>
      </c>
      <c r="B20" s="206" t="s">
        <v>388</v>
      </c>
      <c r="C20" s="207" t="s">
        <v>404</v>
      </c>
      <c r="D20" s="208">
        <f>70000*1.04</f>
        <v>72800</v>
      </c>
      <c r="E20" s="134" t="s">
        <v>4</v>
      </c>
      <c r="F20" s="209"/>
    </row>
    <row r="21" spans="1:6" ht="51.75" thickBot="1" x14ac:dyDescent="0.3">
      <c r="A21" s="216">
        <v>6</v>
      </c>
      <c r="B21" s="206" t="s">
        <v>389</v>
      </c>
      <c r="C21" s="207" t="s">
        <v>405</v>
      </c>
      <c r="D21" s="208">
        <f>190000*1.04</f>
        <v>197600</v>
      </c>
      <c r="E21" s="134" t="s">
        <v>4</v>
      </c>
      <c r="F21" s="209"/>
    </row>
    <row r="22" spans="1:6" ht="26.25" thickBot="1" x14ac:dyDescent="0.3">
      <c r="A22" s="216">
        <v>7</v>
      </c>
      <c r="B22" s="206" t="s">
        <v>390</v>
      </c>
      <c r="C22" s="207" t="s">
        <v>406</v>
      </c>
      <c r="D22" s="208">
        <f>5000*1.04</f>
        <v>5200</v>
      </c>
      <c r="E22" s="134" t="s">
        <v>4</v>
      </c>
      <c r="F22" s="209"/>
    </row>
    <row r="23" spans="1:6" ht="26.25" thickBot="1" x14ac:dyDescent="0.3">
      <c r="A23" s="216">
        <v>8</v>
      </c>
      <c r="B23" s="206" t="s">
        <v>391</v>
      </c>
      <c r="C23" s="207" t="s">
        <v>407</v>
      </c>
      <c r="D23" s="208">
        <f>30000*1.04</f>
        <v>31200</v>
      </c>
      <c r="E23" s="134" t="s">
        <v>4</v>
      </c>
      <c r="F23" s="209"/>
    </row>
    <row r="24" spans="1:6" ht="26.25" thickBot="1" x14ac:dyDescent="0.3">
      <c r="A24" s="216">
        <v>9</v>
      </c>
      <c r="B24" s="206" t="s">
        <v>392</v>
      </c>
      <c r="C24" s="207" t="s">
        <v>408</v>
      </c>
      <c r="D24" s="208">
        <f>4000*1.04</f>
        <v>4160</v>
      </c>
      <c r="E24" s="134" t="s">
        <v>4</v>
      </c>
      <c r="F24" s="209"/>
    </row>
    <row r="25" spans="1:6" ht="26.25" thickBot="1" x14ac:dyDescent="0.3">
      <c r="A25" s="216">
        <v>10</v>
      </c>
      <c r="B25" s="206" t="s">
        <v>393</v>
      </c>
      <c r="C25" s="207" t="s">
        <v>409</v>
      </c>
      <c r="D25" s="208">
        <f>50000*1.04</f>
        <v>52000</v>
      </c>
      <c r="E25" s="134" t="s">
        <v>4</v>
      </c>
      <c r="F25" s="209"/>
    </row>
    <row r="26" spans="1:6" ht="26.25" thickBot="1" x14ac:dyDescent="0.3">
      <c r="A26" s="216">
        <v>11</v>
      </c>
      <c r="B26" s="206" t="s">
        <v>394</v>
      </c>
      <c r="C26" s="207" t="s">
        <v>410</v>
      </c>
      <c r="D26" s="208">
        <f>40000*1.04</f>
        <v>41600</v>
      </c>
      <c r="E26" s="134" t="s">
        <v>4</v>
      </c>
      <c r="F26" s="209"/>
    </row>
    <row r="27" spans="1:6" ht="26.25" thickBot="1" x14ac:dyDescent="0.3">
      <c r="A27" s="216">
        <v>12</v>
      </c>
      <c r="B27" s="206" t="s">
        <v>395</v>
      </c>
      <c r="C27" s="207" t="s">
        <v>411</v>
      </c>
      <c r="D27" s="208">
        <f>100000*1.04</f>
        <v>104000</v>
      </c>
      <c r="E27" s="134" t="s">
        <v>4</v>
      </c>
      <c r="F27" s="209"/>
    </row>
    <row r="28" spans="1:6" ht="15.75" thickBot="1" x14ac:dyDescent="0.3">
      <c r="A28" s="215"/>
      <c r="B28" s="39" t="s">
        <v>387</v>
      </c>
      <c r="C28" s="37"/>
      <c r="D28" s="115"/>
      <c r="E28" s="115"/>
      <c r="F28" s="146"/>
    </row>
    <row r="29" spans="1:6" ht="26.25" thickBot="1" x14ac:dyDescent="0.3">
      <c r="A29" s="215">
        <v>13</v>
      </c>
      <c r="B29" s="173" t="s">
        <v>396</v>
      </c>
      <c r="C29" s="174" t="s">
        <v>412</v>
      </c>
      <c r="D29" s="182">
        <f>50000*1.04</f>
        <v>52000</v>
      </c>
      <c r="E29" s="134" t="s">
        <v>4</v>
      </c>
      <c r="F29" s="108"/>
    </row>
    <row r="30" spans="1:6" ht="26.25" thickBot="1" x14ac:dyDescent="0.3">
      <c r="A30" s="215">
        <v>14</v>
      </c>
      <c r="B30" s="173" t="s">
        <v>397</v>
      </c>
      <c r="C30" s="174" t="s">
        <v>413</v>
      </c>
      <c r="D30" s="182">
        <f>10000*1.04</f>
        <v>10400</v>
      </c>
      <c r="E30" s="134" t="s">
        <v>4</v>
      </c>
      <c r="F30" s="108"/>
    </row>
    <row r="31" spans="1:6" ht="26.25" thickBot="1" x14ac:dyDescent="0.3">
      <c r="A31" s="215">
        <v>15</v>
      </c>
      <c r="B31" s="173" t="s">
        <v>398</v>
      </c>
      <c r="C31" s="174" t="s">
        <v>414</v>
      </c>
      <c r="D31" s="182">
        <f>15000*1.04</f>
        <v>15600</v>
      </c>
      <c r="E31" s="134" t="s">
        <v>4</v>
      </c>
      <c r="F31" s="108"/>
    </row>
    <row r="32" spans="1:6" ht="26.25" thickBot="1" x14ac:dyDescent="0.3">
      <c r="A32" s="215">
        <v>16</v>
      </c>
      <c r="B32" s="150" t="s">
        <v>399</v>
      </c>
      <c r="C32" s="176" t="s">
        <v>415</v>
      </c>
      <c r="D32" s="270">
        <f>40000*1.04</f>
        <v>41600</v>
      </c>
      <c r="E32" s="271" t="s">
        <v>4</v>
      </c>
      <c r="F32" s="109"/>
    </row>
    <row r="33" spans="1:9" ht="15.75" thickBot="1" x14ac:dyDescent="0.3">
      <c r="A33" s="215"/>
      <c r="B33" s="15" t="s">
        <v>761</v>
      </c>
      <c r="C33" s="142"/>
      <c r="D33" s="113"/>
      <c r="E33" s="17"/>
      <c r="F33" s="143"/>
      <c r="G33" s="144"/>
      <c r="H33" s="144"/>
      <c r="I33" s="144"/>
    </row>
    <row r="34" spans="1:9" ht="26.25" thickBot="1" x14ac:dyDescent="0.3">
      <c r="A34" s="215">
        <v>17</v>
      </c>
      <c r="B34" s="173" t="s">
        <v>762</v>
      </c>
      <c r="C34" s="174" t="s">
        <v>763</v>
      </c>
      <c r="D34" s="182">
        <v>2500</v>
      </c>
      <c r="E34" s="299" t="s">
        <v>4</v>
      </c>
      <c r="F34" s="108" t="s">
        <v>764</v>
      </c>
    </row>
  </sheetData>
  <mergeCells count="4">
    <mergeCell ref="C9:F9"/>
    <mergeCell ref="F1:F7"/>
    <mergeCell ref="A1:E6"/>
    <mergeCell ref="A7:E7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Header>&amp;F</oddHeader>
    <oddFooter>&amp;CУслуги;Страница 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K404"/>
  <sheetViews>
    <sheetView showGridLines="0" showRowColHeaders="0" zoomScale="85" zoomScaleNormal="85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B10" sqref="B10"/>
    </sheetView>
  </sheetViews>
  <sheetFormatPr defaultRowHeight="15" outlineLevelRow="1" x14ac:dyDescent="0.25"/>
  <cols>
    <col min="1" max="1" width="5" customWidth="1"/>
    <col min="2" max="2" width="100.7109375" customWidth="1"/>
    <col min="3" max="3" width="12.140625" customWidth="1"/>
    <col min="4" max="5" width="15.7109375" customWidth="1"/>
    <col min="6" max="6" width="11.42578125" customWidth="1"/>
    <col min="7" max="7" width="79.7109375" customWidth="1"/>
    <col min="8" max="9" width="14" customWidth="1"/>
    <col min="10" max="10" width="57.5703125" customWidth="1"/>
    <col min="13" max="13" width="10.85546875" customWidth="1"/>
  </cols>
  <sheetData>
    <row r="1" spans="1:11" ht="15.75" customHeight="1" x14ac:dyDescent="0.25">
      <c r="A1" s="451" t="s">
        <v>1682</v>
      </c>
      <c r="B1" s="451"/>
      <c r="C1" s="451"/>
      <c r="D1" s="451"/>
      <c r="E1" s="451"/>
      <c r="F1" s="452"/>
      <c r="G1" s="449" t="s">
        <v>40</v>
      </c>
      <c r="H1" s="189" t="s">
        <v>1026</v>
      </c>
      <c r="K1" s="189" t="s">
        <v>1026</v>
      </c>
    </row>
    <row r="2" spans="1:11" x14ac:dyDescent="0.25">
      <c r="A2" s="451"/>
      <c r="B2" s="451"/>
      <c r="C2" s="451"/>
      <c r="D2" s="451"/>
      <c r="E2" s="451"/>
      <c r="F2" s="452"/>
      <c r="G2" s="449"/>
      <c r="H2" s="189" t="s">
        <v>939</v>
      </c>
      <c r="K2" s="189" t="s">
        <v>939</v>
      </c>
    </row>
    <row r="3" spans="1:11" x14ac:dyDescent="0.25">
      <c r="A3" s="451"/>
      <c r="B3" s="451"/>
      <c r="C3" s="451"/>
      <c r="D3" s="451"/>
      <c r="E3" s="451"/>
      <c r="F3" s="452"/>
      <c r="G3" s="449"/>
      <c r="H3" s="191" t="s">
        <v>1027</v>
      </c>
      <c r="J3" s="192"/>
      <c r="K3" s="191" t="s">
        <v>1027</v>
      </c>
    </row>
    <row r="4" spans="1:11" x14ac:dyDescent="0.25">
      <c r="A4" s="451"/>
      <c r="B4" s="451"/>
      <c r="C4" s="451"/>
      <c r="D4" s="451"/>
      <c r="E4" s="451"/>
      <c r="F4" s="452"/>
      <c r="G4" s="449"/>
      <c r="H4" s="189" t="s">
        <v>1028</v>
      </c>
      <c r="K4" s="189" t="s">
        <v>1028</v>
      </c>
    </row>
    <row r="5" spans="1:11" x14ac:dyDescent="0.25">
      <c r="A5" s="451"/>
      <c r="B5" s="451"/>
      <c r="C5" s="451"/>
      <c r="D5" s="451"/>
      <c r="E5" s="451"/>
      <c r="F5" s="452"/>
      <c r="G5" s="449"/>
      <c r="H5" s="189" t="s">
        <v>1292</v>
      </c>
      <c r="K5" s="189"/>
    </row>
    <row r="6" spans="1:11" ht="23.25" customHeight="1" x14ac:dyDescent="0.25">
      <c r="A6" s="451"/>
      <c r="B6" s="451"/>
      <c r="C6" s="451"/>
      <c r="D6" s="451"/>
      <c r="E6" s="451"/>
      <c r="F6" s="452"/>
      <c r="G6" s="449"/>
      <c r="H6" s="189" t="s">
        <v>1293</v>
      </c>
      <c r="K6" s="189">
        <v>85</v>
      </c>
    </row>
    <row r="7" spans="1:11" ht="15.75" customHeight="1" thickBot="1" x14ac:dyDescent="0.3">
      <c r="A7" s="453" t="str">
        <f>'Diamond ACS'!A7:G7</f>
        <v>Срок действия: с 01.01.21</v>
      </c>
      <c r="B7" s="453"/>
      <c r="C7" s="453"/>
      <c r="D7" s="453"/>
      <c r="E7" s="453"/>
      <c r="F7" s="454"/>
      <c r="G7" s="450"/>
      <c r="H7" s="189" t="s">
        <v>1294</v>
      </c>
    </row>
    <row r="8" spans="1:11" ht="26.25" customHeight="1" thickBot="1" x14ac:dyDescent="0.3">
      <c r="A8" s="74" t="s">
        <v>13</v>
      </c>
      <c r="B8" s="27" t="s">
        <v>0</v>
      </c>
      <c r="C8" s="28" t="s">
        <v>1</v>
      </c>
      <c r="D8" s="28" t="s">
        <v>927</v>
      </c>
      <c r="E8" s="28" t="s">
        <v>767</v>
      </c>
      <c r="F8" s="28" t="s">
        <v>3</v>
      </c>
      <c r="G8" s="30" t="s">
        <v>828</v>
      </c>
      <c r="H8" s="189" t="s">
        <v>1295</v>
      </c>
    </row>
    <row r="9" spans="1:11" ht="64.5" customHeight="1" thickBot="1" x14ac:dyDescent="0.3">
      <c r="A9" s="77"/>
      <c r="B9" s="455" t="s">
        <v>1500</v>
      </c>
      <c r="C9" s="444"/>
      <c r="D9" s="444"/>
      <c r="E9" s="444"/>
      <c r="F9" s="444"/>
      <c r="G9" s="445"/>
      <c r="H9" s="189" t="s">
        <v>1296</v>
      </c>
    </row>
    <row r="10" spans="1:11" ht="63.75" x14ac:dyDescent="0.25">
      <c r="A10" s="349" t="s">
        <v>45</v>
      </c>
      <c r="B10" s="42" t="s">
        <v>1735</v>
      </c>
      <c r="C10" s="43" t="s">
        <v>213</v>
      </c>
      <c r="D10" s="121">
        <f>ROUNDUP(8960*1.04,0)-4000</f>
        <v>5319</v>
      </c>
      <c r="E10" s="122">
        <f>ROUNDUP(D10*0.85,0)</f>
        <v>4522</v>
      </c>
      <c r="F10" s="45" t="s">
        <v>4</v>
      </c>
      <c r="G10" s="46" t="s">
        <v>1172</v>
      </c>
      <c r="H10" s="189" t="s">
        <v>1297</v>
      </c>
    </row>
    <row r="11" spans="1:11" ht="25.5" x14ac:dyDescent="0.25">
      <c r="A11" s="218" t="s">
        <v>46</v>
      </c>
      <c r="B11" s="31" t="str">
        <f>CONCATENATE(K1,K24)</f>
        <v>Сертификат активации сервиса прямой технической поддержки  уровня "Стандартный" на 1 год для: «Клиент многофункционального комплекса сетевой защиты «Diamond VPN/FW». Версия FW уровня узла»</v>
      </c>
      <c r="C11" s="5" t="s">
        <v>278</v>
      </c>
      <c r="D11" s="120">
        <f>ROUNDUP(D10*0.2,0)</f>
        <v>1064</v>
      </c>
      <c r="E11" s="120">
        <f>ROUNDUP(E10*0.2,0)</f>
        <v>905</v>
      </c>
      <c r="F11" s="107">
        <v>0.2</v>
      </c>
      <c r="G11" s="4"/>
      <c r="H11" s="189" t="s">
        <v>1298</v>
      </c>
      <c r="I11" s="103"/>
      <c r="J11" s="103"/>
    </row>
    <row r="12" spans="1:11" ht="25.5" x14ac:dyDescent="0.25">
      <c r="A12" s="217" t="s">
        <v>55</v>
      </c>
      <c r="B12" s="22" t="str">
        <f>CONCATENATE(K3,K24)</f>
        <v>Сертификат активации сервиса прямой технической поддержки  уровня "Стандартный" на 3 года для: «Клиент многофункционального комплекса сетевой защиты «Diamond VPN/FW». Версия FW уровня узла»</v>
      </c>
      <c r="C12" s="5" t="s">
        <v>584</v>
      </c>
      <c r="D12" s="118">
        <f>ROUNDUP(D11*0.97*3,0)</f>
        <v>3097</v>
      </c>
      <c r="E12" s="118">
        <f>ROUNDUP(E11*0.97*3,0)</f>
        <v>2634</v>
      </c>
      <c r="F12" s="107">
        <v>0.2</v>
      </c>
      <c r="G12" s="23"/>
      <c r="H12" s="189" t="s">
        <v>1299</v>
      </c>
      <c r="I12" s="103"/>
      <c r="J12" s="103"/>
    </row>
    <row r="13" spans="1:11" ht="26.25" thickBot="1" x14ac:dyDescent="0.3">
      <c r="A13" s="220" t="s">
        <v>528</v>
      </c>
      <c r="B13" s="31" t="str">
        <f>CONCATENATE(K4,K24)</f>
        <v>Сертификат активации сервиса прямой технической поддержки  уровня "Стандартный" на 5 лет для: «Клиент многофункционального комплекса сетевой защиты «Diamond VPN/FW». Версия FW уровня узла»</v>
      </c>
      <c r="C13" s="54" t="s">
        <v>585</v>
      </c>
      <c r="D13" s="123">
        <f>ROUNDUP(D11*0.95*5,0)</f>
        <v>5054</v>
      </c>
      <c r="E13" s="123">
        <f>ROUNDUP(E11*0.95*5,0)</f>
        <v>4299</v>
      </c>
      <c r="F13" s="60">
        <v>0.2</v>
      </c>
      <c r="G13" s="14"/>
      <c r="H13" s="189" t="s">
        <v>1300</v>
      </c>
      <c r="I13" s="103"/>
      <c r="J13" s="103"/>
    </row>
    <row r="14" spans="1:11" hidden="1" x14ac:dyDescent="0.25">
      <c r="A14" s="446" t="s">
        <v>56</v>
      </c>
      <c r="B14" s="167"/>
      <c r="C14" s="98"/>
      <c r="D14" s="126"/>
      <c r="E14" s="127"/>
      <c r="F14" s="99"/>
      <c r="G14" s="193"/>
      <c r="H14" s="189" t="s">
        <v>1301</v>
      </c>
      <c r="J14" s="103"/>
    </row>
    <row r="15" spans="1:11" hidden="1" outlineLevel="1" x14ac:dyDescent="0.25">
      <c r="A15" s="447"/>
      <c r="B15" s="42" t="s">
        <v>1104</v>
      </c>
      <c r="C15" s="43" t="s">
        <v>456</v>
      </c>
      <c r="D15" s="121">
        <v>35775</v>
      </c>
      <c r="E15" s="122">
        <f>ROUNDUP(D15*0.95,0)</f>
        <v>33987</v>
      </c>
      <c r="F15" s="45">
        <v>0.2</v>
      </c>
      <c r="G15" s="46" t="s">
        <v>376</v>
      </c>
      <c r="H15" s="189" t="s">
        <v>1302</v>
      </c>
      <c r="I15" s="103"/>
    </row>
    <row r="16" spans="1:11" ht="25.5" hidden="1" outlineLevel="1" x14ac:dyDescent="0.25">
      <c r="A16" s="448"/>
      <c r="B16" s="42"/>
      <c r="C16" s="43"/>
      <c r="D16" s="121">
        <f>ROUNDUP(76923*1.04,0)-20000-1656</f>
        <v>58344</v>
      </c>
      <c r="E16" s="122">
        <f>D16*0.85</f>
        <v>49592.4</v>
      </c>
      <c r="F16" s="44" t="s">
        <v>4</v>
      </c>
      <c r="G16" s="46"/>
      <c r="H16" s="189" t="s">
        <v>1303</v>
      </c>
    </row>
    <row r="17" spans="1:11" hidden="1" outlineLevel="1" x14ac:dyDescent="0.25">
      <c r="A17" s="217" t="s">
        <v>96</v>
      </c>
      <c r="B17" s="22"/>
      <c r="C17" s="21"/>
      <c r="D17" s="118"/>
      <c r="E17" s="118"/>
      <c r="F17" s="24"/>
      <c r="G17" s="91"/>
      <c r="H17" s="189" t="s">
        <v>1304</v>
      </c>
    </row>
    <row r="18" spans="1:11" hidden="1" outlineLevel="1" x14ac:dyDescent="0.25">
      <c r="A18" s="217" t="s">
        <v>97</v>
      </c>
      <c r="B18" s="31"/>
      <c r="C18" s="21"/>
      <c r="D18" s="118"/>
      <c r="E18" s="118"/>
      <c r="F18" s="188"/>
      <c r="G18" s="91"/>
      <c r="H18" s="189" t="s">
        <v>1019</v>
      </c>
    </row>
    <row r="19" spans="1:11" hidden="1" outlineLevel="1" x14ac:dyDescent="0.25">
      <c r="A19" s="222" t="s">
        <v>475</v>
      </c>
      <c r="B19" s="22"/>
      <c r="C19" s="10"/>
      <c r="D19" s="117"/>
      <c r="E19" s="117"/>
      <c r="F19" s="188"/>
      <c r="G19" s="194"/>
    </row>
    <row r="20" spans="1:11" ht="15.75" hidden="1" outlineLevel="1" thickBot="1" x14ac:dyDescent="0.3">
      <c r="A20" s="220" t="s">
        <v>476</v>
      </c>
      <c r="B20" s="166"/>
      <c r="C20" s="21"/>
      <c r="D20" s="118"/>
      <c r="E20" s="118"/>
      <c r="F20" s="188"/>
      <c r="G20" s="91"/>
    </row>
    <row r="21" spans="1:11" collapsed="1" x14ac:dyDescent="0.25">
      <c r="A21" s="446" t="s">
        <v>56</v>
      </c>
      <c r="B21" s="167" t="s">
        <v>1255</v>
      </c>
      <c r="C21" s="49"/>
      <c r="D21" s="124"/>
      <c r="E21" s="125"/>
      <c r="F21" s="51"/>
      <c r="G21" s="53"/>
      <c r="H21" s="189" t="s">
        <v>1476</v>
      </c>
    </row>
    <row r="22" spans="1:11" ht="25.5" outlineLevel="1" x14ac:dyDescent="0.25">
      <c r="A22" s="447"/>
      <c r="B22" s="42" t="s">
        <v>1104</v>
      </c>
      <c r="C22" s="43" t="s">
        <v>457</v>
      </c>
      <c r="D22" s="121">
        <f>ROUNDUP(453*K6*1.53,0)</f>
        <v>58913</v>
      </c>
      <c r="E22" s="122">
        <f>ROUNDUP(D22*0.95,0)</f>
        <v>55968</v>
      </c>
      <c r="F22" s="45">
        <v>0.2</v>
      </c>
      <c r="G22" s="47" t="s">
        <v>1305</v>
      </c>
      <c r="H22" s="189" t="s">
        <v>1477</v>
      </c>
    </row>
    <row r="23" spans="1:11" ht="25.5" outlineLevel="1" x14ac:dyDescent="0.25">
      <c r="A23" s="448"/>
      <c r="B23" s="42" t="s">
        <v>1281</v>
      </c>
      <c r="C23" s="43" t="s">
        <v>249</v>
      </c>
      <c r="D23" s="121">
        <f>ROUNDUP(162197.33*1.04,0)-20000</f>
        <v>148686</v>
      </c>
      <c r="E23" s="122">
        <f>ROUNDUP(D23*0.85,0)</f>
        <v>126384</v>
      </c>
      <c r="F23" s="44" t="s">
        <v>4</v>
      </c>
      <c r="G23" s="47"/>
      <c r="H23" s="189" t="s">
        <v>1478</v>
      </c>
    </row>
    <row r="24" spans="1:11" ht="38.25" outlineLevel="1" x14ac:dyDescent="0.25">
      <c r="A24" s="352" t="s">
        <v>96</v>
      </c>
      <c r="B24" s="31" t="s">
        <v>1215</v>
      </c>
      <c r="C24" s="21" t="s">
        <v>250</v>
      </c>
      <c r="D24" s="118">
        <f>ROUNDUP(D22+((D23)*1.2),0)</f>
        <v>237337</v>
      </c>
      <c r="E24" s="118">
        <f>ROUNDUP(E22+(E23*1.2),0)</f>
        <v>207629</v>
      </c>
      <c r="F24" s="24">
        <v>0.2</v>
      </c>
      <c r="G24" s="91" t="s">
        <v>1269</v>
      </c>
      <c r="K24" s="189" t="s">
        <v>1734</v>
      </c>
    </row>
    <row r="25" spans="1:11" ht="25.5" outlineLevel="1" x14ac:dyDescent="0.25">
      <c r="A25" s="352" t="s">
        <v>97</v>
      </c>
      <c r="B25" s="31" t="str">
        <f>CONCATENATE(H1,H6)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- 2111. Версия UTM»</v>
      </c>
      <c r="C25" s="5" t="s">
        <v>308</v>
      </c>
      <c r="D25" s="120">
        <f>ROUNDUP((D22+D23)*0.2,0)</f>
        <v>41520</v>
      </c>
      <c r="E25" s="120">
        <f>ROUNDUP((E22+E23)*0.2,0)</f>
        <v>36471</v>
      </c>
      <c r="F25" s="107">
        <v>0.2</v>
      </c>
      <c r="G25" s="4"/>
      <c r="H25" t="s">
        <v>1019</v>
      </c>
    </row>
    <row r="26" spans="1:11" ht="25.5" outlineLevel="1" x14ac:dyDescent="0.25">
      <c r="A26" s="305" t="s">
        <v>475</v>
      </c>
      <c r="B26" s="22" t="str">
        <f>CONCATENATE(H3,H6)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- 2111. Версия UTM»</v>
      </c>
      <c r="C26" s="21" t="s">
        <v>479</v>
      </c>
      <c r="D26" s="118">
        <f>ROUNDUP(D25*0.97*3,0)</f>
        <v>120824</v>
      </c>
      <c r="E26" s="118">
        <f>ROUNDUP(E25*0.97*3,0)</f>
        <v>106131</v>
      </c>
      <c r="F26" s="107">
        <v>0.2</v>
      </c>
      <c r="G26" s="23"/>
    </row>
    <row r="27" spans="1:11" ht="26.25" outlineLevel="1" thickBot="1" x14ac:dyDescent="0.3">
      <c r="A27" s="353" t="s">
        <v>476</v>
      </c>
      <c r="B27" s="166" t="str">
        <f>CONCATENATE(H4,H6)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- 2111. Версия UTM»</v>
      </c>
      <c r="C27" s="54" t="s">
        <v>480</v>
      </c>
      <c r="D27" s="123">
        <f>ROUNDUP(D25*0.95*5,0)</f>
        <v>197220</v>
      </c>
      <c r="E27" s="123">
        <f>ROUNDUP(E25*0.95*5,0)</f>
        <v>173238</v>
      </c>
      <c r="F27" s="60">
        <v>0.2</v>
      </c>
      <c r="G27" s="14"/>
    </row>
    <row r="28" spans="1:11" x14ac:dyDescent="0.25">
      <c r="A28" s="446" t="s">
        <v>57</v>
      </c>
      <c r="B28" s="58" t="s">
        <v>1256</v>
      </c>
      <c r="C28" s="49"/>
      <c r="D28" s="124"/>
      <c r="E28" s="125"/>
      <c r="F28" s="51"/>
      <c r="G28" s="53"/>
    </row>
    <row r="29" spans="1:11" ht="25.5" outlineLevel="1" x14ac:dyDescent="0.25">
      <c r="A29" s="447"/>
      <c r="B29" s="42" t="s">
        <v>1308</v>
      </c>
      <c r="C29" s="43" t="s">
        <v>458</v>
      </c>
      <c r="D29" s="121">
        <f>ROUNDUP(88875,0)</f>
        <v>88875</v>
      </c>
      <c r="E29" s="122">
        <f>ROUNDUP(D29*0.95,0)</f>
        <v>84432</v>
      </c>
      <c r="F29" s="45">
        <v>0.2</v>
      </c>
      <c r="G29" s="47" t="s">
        <v>377</v>
      </c>
    </row>
    <row r="30" spans="1:11" ht="25.5" outlineLevel="1" x14ac:dyDescent="0.25">
      <c r="A30" s="448"/>
      <c r="B30" s="42" t="s">
        <v>1282</v>
      </c>
      <c r="C30" s="43" t="s">
        <v>251</v>
      </c>
      <c r="D30" s="121">
        <f>ROUNDUP(155522-4115,0)</f>
        <v>151407</v>
      </c>
      <c r="E30" s="122">
        <f>ROUNDUP(D30*0.85,0)</f>
        <v>128696</v>
      </c>
      <c r="F30" s="44" t="s">
        <v>4</v>
      </c>
      <c r="G30" s="47"/>
    </row>
    <row r="31" spans="1:11" ht="38.25" outlineLevel="1" x14ac:dyDescent="0.25">
      <c r="A31" s="353" t="s">
        <v>58</v>
      </c>
      <c r="B31" s="31" t="s">
        <v>1216</v>
      </c>
      <c r="C31" s="21" t="s">
        <v>252</v>
      </c>
      <c r="D31" s="120">
        <f>ROUNDUP(D29+((D30)*1.2),0)</f>
        <v>270564</v>
      </c>
      <c r="E31" s="120">
        <f>ROUNDUP(E29+(E30*1.2),0)</f>
        <v>238868</v>
      </c>
      <c r="F31" s="24">
        <v>0.2</v>
      </c>
      <c r="G31" s="91" t="s">
        <v>1270</v>
      </c>
    </row>
    <row r="32" spans="1:11" ht="25.5" outlineLevel="1" x14ac:dyDescent="0.25">
      <c r="A32" s="352" t="s">
        <v>59</v>
      </c>
      <c r="B32" s="31" t="str">
        <f>CONCATENATE(H1,H7)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- 3101. Версия UTM»</v>
      </c>
      <c r="C32" s="5" t="s">
        <v>309</v>
      </c>
      <c r="D32" s="120">
        <f>ROUNDUP((D29+D30)*0.2,0)</f>
        <v>48057</v>
      </c>
      <c r="E32" s="120">
        <f>ROUNDUP((E29+E30)*0.2,0)</f>
        <v>42626</v>
      </c>
      <c r="F32" s="107">
        <v>0.2</v>
      </c>
      <c r="G32" s="4"/>
    </row>
    <row r="33" spans="1:7" ht="25.5" outlineLevel="1" x14ac:dyDescent="0.25">
      <c r="A33" s="353" t="s">
        <v>477</v>
      </c>
      <c r="B33" s="22" t="str">
        <f>CONCATENATE(H3,H7)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- 3101. Версия UTM»</v>
      </c>
      <c r="C33" s="21" t="s">
        <v>481</v>
      </c>
      <c r="D33" s="118">
        <f>ROUNDUP(D32*0.97*3,0)</f>
        <v>139846</v>
      </c>
      <c r="E33" s="118">
        <f>ROUNDUP(E32*0.97*3,0)</f>
        <v>124042</v>
      </c>
      <c r="F33" s="107">
        <v>0.2</v>
      </c>
      <c r="G33" s="23"/>
    </row>
    <row r="34" spans="1:7" ht="26.25" outlineLevel="1" thickBot="1" x14ac:dyDescent="0.3">
      <c r="A34" s="219" t="s">
        <v>478</v>
      </c>
      <c r="B34" s="166" t="str">
        <f>CONCATENATE(H4,H7)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- 3101. Версия UTM»</v>
      </c>
      <c r="C34" s="54" t="s">
        <v>482</v>
      </c>
      <c r="D34" s="123">
        <f>ROUNDUP(D32*0.95*5,0)</f>
        <v>228271</v>
      </c>
      <c r="E34" s="123">
        <f>ROUNDUP(E32*0.95*5,0)</f>
        <v>202474</v>
      </c>
      <c r="F34" s="60">
        <v>0.2</v>
      </c>
      <c r="G34" s="14"/>
    </row>
    <row r="35" spans="1:7" x14ac:dyDescent="0.25">
      <c r="A35" s="446" t="s">
        <v>60</v>
      </c>
      <c r="B35" s="58" t="s">
        <v>1257</v>
      </c>
      <c r="C35" s="49"/>
      <c r="D35" s="124"/>
      <c r="E35" s="125"/>
      <c r="F35" s="51"/>
      <c r="G35" s="53"/>
    </row>
    <row r="36" spans="1:7" ht="25.5" outlineLevel="1" x14ac:dyDescent="0.25">
      <c r="A36" s="447"/>
      <c r="B36" s="42" t="s">
        <v>1309</v>
      </c>
      <c r="C36" s="43" t="s">
        <v>459</v>
      </c>
      <c r="D36" s="121">
        <f>ROUNDUP(114750,0)</f>
        <v>114750</v>
      </c>
      <c r="E36" s="122">
        <f>ROUNDUP(D36*0.95,0)</f>
        <v>109013</v>
      </c>
      <c r="F36" s="45">
        <v>0.2</v>
      </c>
      <c r="G36" s="47" t="s">
        <v>378</v>
      </c>
    </row>
    <row r="37" spans="1:7" ht="25.5" outlineLevel="1" x14ac:dyDescent="0.25">
      <c r="A37" s="448"/>
      <c r="B37" s="42" t="s">
        <v>1283</v>
      </c>
      <c r="C37" s="43" t="s">
        <v>253</v>
      </c>
      <c r="D37" s="121">
        <f>ROUNDUP(226710-14301,0)</f>
        <v>212409</v>
      </c>
      <c r="E37" s="122">
        <f>ROUNDUP(D37*0.85,0)</f>
        <v>180548</v>
      </c>
      <c r="F37" s="44" t="s">
        <v>4</v>
      </c>
      <c r="G37" s="47"/>
    </row>
    <row r="38" spans="1:7" ht="38.25" outlineLevel="1" x14ac:dyDescent="0.25">
      <c r="A38" s="353" t="s">
        <v>61</v>
      </c>
      <c r="B38" s="106" t="s">
        <v>1217</v>
      </c>
      <c r="C38" s="21" t="s">
        <v>254</v>
      </c>
      <c r="D38" s="120">
        <f>ROUNDUP(D36+((D37)*1.2),0)</f>
        <v>369641</v>
      </c>
      <c r="E38" s="120">
        <f>ROUNDUP(E36+(E37*1.2),0)</f>
        <v>325671</v>
      </c>
      <c r="F38" s="24">
        <v>0.2</v>
      </c>
      <c r="G38" s="91" t="s">
        <v>1271</v>
      </c>
    </row>
    <row r="39" spans="1:7" ht="25.5" outlineLevel="1" x14ac:dyDescent="0.25">
      <c r="A39" s="352" t="s">
        <v>62</v>
      </c>
      <c r="B39" s="31" t="str">
        <f>CONCATENATE(H1,H8)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- 4101. Версия UTM»</v>
      </c>
      <c r="C39" s="5" t="s">
        <v>310</v>
      </c>
      <c r="D39" s="120">
        <f>ROUNDUP((D36+D37)*0.2,0)</f>
        <v>65432</v>
      </c>
      <c r="E39" s="120">
        <f>ROUNDUP((E36+E37)*0.2,0)</f>
        <v>57913</v>
      </c>
      <c r="F39" s="107">
        <v>0.2</v>
      </c>
      <c r="G39" s="4"/>
    </row>
    <row r="40" spans="1:7" ht="25.5" outlineLevel="1" x14ac:dyDescent="0.25">
      <c r="A40" s="353" t="s">
        <v>503</v>
      </c>
      <c r="B40" s="22" t="str">
        <f>CONCATENATE(H3,H8)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- 4101. Версия UTM»</v>
      </c>
      <c r="C40" s="21" t="s">
        <v>483</v>
      </c>
      <c r="D40" s="118">
        <f>ROUNDUP(D39*0.97*3,0)</f>
        <v>190408</v>
      </c>
      <c r="E40" s="118">
        <f>ROUNDUP(E39*0.97*3,0)</f>
        <v>168527</v>
      </c>
      <c r="F40" s="107">
        <v>0.2</v>
      </c>
      <c r="G40" s="23"/>
    </row>
    <row r="41" spans="1:7" ht="26.25" outlineLevel="1" thickBot="1" x14ac:dyDescent="0.3">
      <c r="A41" s="219" t="s">
        <v>504</v>
      </c>
      <c r="B41" s="166" t="str">
        <f>CONCATENATE(H4,H8)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- 4101. Версия UTM»</v>
      </c>
      <c r="C41" s="54" t="s">
        <v>484</v>
      </c>
      <c r="D41" s="123">
        <f>ROUNDUP(D39*0.95*5,0)</f>
        <v>310802</v>
      </c>
      <c r="E41" s="123">
        <f>ROUNDUP(E39*0.95*5,0)</f>
        <v>275087</v>
      </c>
      <c r="F41" s="60">
        <v>0.2</v>
      </c>
      <c r="G41" s="14"/>
    </row>
    <row r="42" spans="1:7" x14ac:dyDescent="0.25">
      <c r="A42" s="446" t="s">
        <v>63</v>
      </c>
      <c r="B42" s="58" t="s">
        <v>1258</v>
      </c>
      <c r="C42" s="49"/>
      <c r="D42" s="124"/>
      <c r="E42" s="125"/>
      <c r="F42" s="51"/>
      <c r="G42" s="53"/>
    </row>
    <row r="43" spans="1:7" ht="25.5" outlineLevel="1" x14ac:dyDescent="0.25">
      <c r="A43" s="447"/>
      <c r="B43" s="42" t="s">
        <v>1107</v>
      </c>
      <c r="C43" s="43" t="s">
        <v>460</v>
      </c>
      <c r="D43" s="121">
        <f>ROUNDUP(154125,0)</f>
        <v>154125</v>
      </c>
      <c r="E43" s="122">
        <f>ROUNDUP(D43*0.95,0)</f>
        <v>146419</v>
      </c>
      <c r="F43" s="45">
        <v>0.2</v>
      </c>
      <c r="G43" s="47" t="s">
        <v>379</v>
      </c>
    </row>
    <row r="44" spans="1:7" ht="25.5" outlineLevel="1" x14ac:dyDescent="0.25">
      <c r="A44" s="448"/>
      <c r="B44" s="42" t="s">
        <v>1284</v>
      </c>
      <c r="C44" s="43" t="s">
        <v>255</v>
      </c>
      <c r="D44" s="121">
        <f>ROUNDUP(341774-8694,0)</f>
        <v>333080</v>
      </c>
      <c r="E44" s="122">
        <f>ROUNDUP(D44*0.85,0)</f>
        <v>283118</v>
      </c>
      <c r="F44" s="44" t="s">
        <v>4</v>
      </c>
      <c r="G44" s="47"/>
    </row>
    <row r="45" spans="1:7" ht="38.25" outlineLevel="1" x14ac:dyDescent="0.25">
      <c r="A45" s="353" t="s">
        <v>64</v>
      </c>
      <c r="B45" s="168" t="s">
        <v>1218</v>
      </c>
      <c r="C45" s="21" t="s">
        <v>256</v>
      </c>
      <c r="D45" s="120">
        <f>ROUNDUP(D43+((D44)*1.2),)</f>
        <v>553821</v>
      </c>
      <c r="E45" s="120">
        <f>ROUNDUP(E43+(E44*1.2),0)</f>
        <v>486161</v>
      </c>
      <c r="F45" s="24">
        <v>0.2</v>
      </c>
      <c r="G45" s="91" t="s">
        <v>1272</v>
      </c>
    </row>
    <row r="46" spans="1:7" ht="25.5" outlineLevel="1" x14ac:dyDescent="0.25">
      <c r="A46" s="352" t="s">
        <v>65</v>
      </c>
      <c r="B46" s="31" t="str">
        <f>CONCATENATE(H1,H9)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- 4105. Версия UTM»</v>
      </c>
      <c r="C46" s="5" t="s">
        <v>311</v>
      </c>
      <c r="D46" s="120">
        <f>ROUNDUP((D43+D44)*0.2,0)</f>
        <v>97441</v>
      </c>
      <c r="E46" s="120">
        <f>ROUNDUP((E43+E44)*0.2,0)</f>
        <v>85908</v>
      </c>
      <c r="F46" s="107">
        <v>0.2</v>
      </c>
      <c r="G46" s="4"/>
    </row>
    <row r="47" spans="1:7" ht="25.5" outlineLevel="1" x14ac:dyDescent="0.25">
      <c r="A47" s="353" t="s">
        <v>505</v>
      </c>
      <c r="B47" s="22" t="str">
        <f>CONCATENATE(H3,H9)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- 4105. Версия UTM»</v>
      </c>
      <c r="C47" s="21" t="s">
        <v>485</v>
      </c>
      <c r="D47" s="118">
        <f>ROUNDUP(D46*0.97*3,0)</f>
        <v>283554</v>
      </c>
      <c r="E47" s="118">
        <f>ROUNDUP(E46*0.97*3,0)</f>
        <v>249993</v>
      </c>
      <c r="F47" s="107">
        <v>0.2</v>
      </c>
      <c r="G47" s="23"/>
    </row>
    <row r="48" spans="1:7" ht="26.25" outlineLevel="1" thickBot="1" x14ac:dyDescent="0.3">
      <c r="A48" s="219" t="s">
        <v>506</v>
      </c>
      <c r="B48" s="166" t="str">
        <f>CONCATENATE(H4,H9)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- 4105. Версия UTM»</v>
      </c>
      <c r="C48" s="54" t="s">
        <v>486</v>
      </c>
      <c r="D48" s="123">
        <f>ROUNDUP(D46*0.95*5,0)</f>
        <v>462845</v>
      </c>
      <c r="E48" s="123">
        <f>ROUNDUP(E46*0.95*5,0)</f>
        <v>408063</v>
      </c>
      <c r="F48" s="60">
        <v>0.2</v>
      </c>
      <c r="G48" s="14"/>
    </row>
    <row r="49" spans="1:7" x14ac:dyDescent="0.25">
      <c r="A49" s="446" t="s">
        <v>66</v>
      </c>
      <c r="B49" s="58" t="s">
        <v>1259</v>
      </c>
      <c r="C49" s="49"/>
      <c r="D49" s="124"/>
      <c r="E49" s="125"/>
      <c r="F49" s="51"/>
      <c r="G49" s="53"/>
    </row>
    <row r="50" spans="1:7" ht="25.5" outlineLevel="1" x14ac:dyDescent="0.25">
      <c r="A50" s="447"/>
      <c r="B50" s="42" t="s">
        <v>1310</v>
      </c>
      <c r="C50" s="43" t="s">
        <v>461</v>
      </c>
      <c r="D50" s="121">
        <f>ROUNDUP(2030*K6*1.6,0)</f>
        <v>276080</v>
      </c>
      <c r="E50" s="122">
        <f>ROUNDUP(D50*0.95,0)</f>
        <v>262276</v>
      </c>
      <c r="F50" s="45">
        <v>0.2</v>
      </c>
      <c r="G50" s="47" t="s">
        <v>1306</v>
      </c>
    </row>
    <row r="51" spans="1:7" ht="25.5" outlineLevel="1" x14ac:dyDescent="0.25">
      <c r="A51" s="448"/>
      <c r="B51" s="42" t="s">
        <v>1285</v>
      </c>
      <c r="C51" s="43" t="s">
        <v>257</v>
      </c>
      <c r="D51" s="121">
        <f>ROUNDUP(461830*1.04,0)-20000</f>
        <v>460304</v>
      </c>
      <c r="E51" s="122">
        <f>ROUNDUP(D51*0.85,0)</f>
        <v>391259</v>
      </c>
      <c r="F51" s="44" t="s">
        <v>4</v>
      </c>
      <c r="G51" s="47"/>
    </row>
    <row r="52" spans="1:7" ht="38.25" outlineLevel="1" x14ac:dyDescent="0.25">
      <c r="A52" s="353" t="s">
        <v>67</v>
      </c>
      <c r="B52" s="106" t="s">
        <v>1219</v>
      </c>
      <c r="C52" s="21" t="s">
        <v>258</v>
      </c>
      <c r="D52" s="120">
        <f>ROUNDUP(D50+((D51)*1.2),0)</f>
        <v>828445</v>
      </c>
      <c r="E52" s="120">
        <f>ROUNDUP(E50+(E51*1.2),0)</f>
        <v>731787</v>
      </c>
      <c r="F52" s="24">
        <v>0.2</v>
      </c>
      <c r="G52" s="91" t="s">
        <v>1273</v>
      </c>
    </row>
    <row r="53" spans="1:7" ht="25.5" outlineLevel="1" x14ac:dyDescent="0.25">
      <c r="A53" s="352" t="s">
        <v>68</v>
      </c>
      <c r="B53" s="31" t="str">
        <f>CONCATENATE(H1,H10)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- 5101. Версия UTM»</v>
      </c>
      <c r="C53" s="5" t="s">
        <v>312</v>
      </c>
      <c r="D53" s="120">
        <f>ROUNDUP((D50+D51)*0.2,0)</f>
        <v>147277</v>
      </c>
      <c r="E53" s="120">
        <f>ROUNDUP((E50+E51)*0.2,0)</f>
        <v>130707</v>
      </c>
      <c r="F53" s="107">
        <v>0.2</v>
      </c>
      <c r="G53" s="4"/>
    </row>
    <row r="54" spans="1:7" ht="25.5" outlineLevel="1" x14ac:dyDescent="0.25">
      <c r="A54" s="353" t="s">
        <v>507</v>
      </c>
      <c r="B54" s="22" t="str">
        <f>CONCATENATE(H3,H10)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- 5101. Версия UTM»</v>
      </c>
      <c r="C54" s="21" t="s">
        <v>487</v>
      </c>
      <c r="D54" s="118">
        <f>ROUNDUP(D53*0.97*3,0)</f>
        <v>428577</v>
      </c>
      <c r="E54" s="118">
        <f>ROUNDUP(E53*0.97*3,0)</f>
        <v>380358</v>
      </c>
      <c r="F54" s="107">
        <v>0.2</v>
      </c>
      <c r="G54" s="23"/>
    </row>
    <row r="55" spans="1:7" ht="26.25" outlineLevel="1" thickBot="1" x14ac:dyDescent="0.3">
      <c r="A55" s="219" t="s">
        <v>508</v>
      </c>
      <c r="B55" s="166" t="str">
        <f>CONCATENATE(H4,H10)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- 5101. Версия UTM»</v>
      </c>
      <c r="C55" s="54" t="s">
        <v>488</v>
      </c>
      <c r="D55" s="123">
        <f>ROUNDUP(D53*0.95*5,0)</f>
        <v>699566</v>
      </c>
      <c r="E55" s="123">
        <f>ROUNDUP(E53*0.95*5,0)</f>
        <v>620859</v>
      </c>
      <c r="F55" s="60">
        <v>0.2</v>
      </c>
      <c r="G55" s="14"/>
    </row>
    <row r="56" spans="1:7" x14ac:dyDescent="0.25">
      <c r="A56" s="446" t="s">
        <v>69</v>
      </c>
      <c r="B56" s="58" t="s">
        <v>1260</v>
      </c>
      <c r="C56" s="49"/>
      <c r="D56" s="124"/>
      <c r="E56" s="125"/>
      <c r="F56" s="51"/>
      <c r="G56" s="53"/>
    </row>
    <row r="57" spans="1:7" ht="25.5" outlineLevel="1" x14ac:dyDescent="0.25">
      <c r="A57" s="447"/>
      <c r="B57" s="42" t="s">
        <v>1109</v>
      </c>
      <c r="C57" s="43" t="s">
        <v>462</v>
      </c>
      <c r="D57" s="121">
        <f>ROUNDUP(273375,0)</f>
        <v>273375</v>
      </c>
      <c r="E57" s="122">
        <f>ROUNDUP(D57*0.95,0)</f>
        <v>259707</v>
      </c>
      <c r="F57" s="45">
        <v>0.2</v>
      </c>
      <c r="G57" s="47" t="s">
        <v>1306</v>
      </c>
    </row>
    <row r="58" spans="1:7" ht="25.5" outlineLevel="1" x14ac:dyDescent="0.25">
      <c r="A58" s="448"/>
      <c r="B58" s="42" t="s">
        <v>1286</v>
      </c>
      <c r="C58" s="43" t="s">
        <v>259</v>
      </c>
      <c r="D58" s="121">
        <f>ROUNDUP(460304-24995,0)</f>
        <v>435309</v>
      </c>
      <c r="E58" s="122">
        <f>ROUNDUP(D58*0.85,0)</f>
        <v>370013</v>
      </c>
      <c r="F58" s="44" t="s">
        <v>4</v>
      </c>
      <c r="G58" s="47"/>
    </row>
    <row r="59" spans="1:7" ht="38.25" outlineLevel="1" x14ac:dyDescent="0.25">
      <c r="A59" s="353" t="s">
        <v>70</v>
      </c>
      <c r="B59" s="106" t="s">
        <v>1220</v>
      </c>
      <c r="C59" s="21" t="s">
        <v>260</v>
      </c>
      <c r="D59" s="120">
        <f>ROUNDUP(D57+((D58)*1.2),0)</f>
        <v>795746</v>
      </c>
      <c r="E59" s="120">
        <f>ROUNDUP(E57+(E58*1.2),0)</f>
        <v>703723</v>
      </c>
      <c r="F59" s="24">
        <v>0.2</v>
      </c>
      <c r="G59" s="91" t="s">
        <v>1274</v>
      </c>
    </row>
    <row r="60" spans="1:7" ht="25.5" outlineLevel="1" x14ac:dyDescent="0.25">
      <c r="A60" s="352" t="s">
        <v>71</v>
      </c>
      <c r="B60" s="31" t="str">
        <f>CONCATENATE(H1,H11)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- 5111. Версия UTM»</v>
      </c>
      <c r="C60" s="5" t="s">
        <v>313</v>
      </c>
      <c r="D60" s="120">
        <f>ROUNDUP((D57+D58)*0.2,0)</f>
        <v>141737</v>
      </c>
      <c r="E60" s="120">
        <f>ROUNDUP((E57+E58)*0.2,0)</f>
        <v>125944</v>
      </c>
      <c r="F60" s="107">
        <v>0.2</v>
      </c>
      <c r="G60" s="4"/>
    </row>
    <row r="61" spans="1:7" ht="25.5" outlineLevel="1" x14ac:dyDescent="0.25">
      <c r="A61" s="353" t="s">
        <v>509</v>
      </c>
      <c r="B61" s="22" t="str">
        <f>CONCATENATE(H3,H11)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- 5111. Версия UTM»</v>
      </c>
      <c r="C61" s="21" t="s">
        <v>489</v>
      </c>
      <c r="D61" s="118">
        <f>ROUNDUP(D60*0.97*3,0)</f>
        <v>412455</v>
      </c>
      <c r="E61" s="118">
        <f>ROUNDUP(E60*0.97*3,0)</f>
        <v>366498</v>
      </c>
      <c r="F61" s="107">
        <v>0.2</v>
      </c>
      <c r="G61" s="23"/>
    </row>
    <row r="62" spans="1:7" ht="26.25" outlineLevel="1" thickBot="1" x14ac:dyDescent="0.3">
      <c r="A62" s="219" t="s">
        <v>510</v>
      </c>
      <c r="B62" s="166" t="str">
        <f>CONCATENATE(H4,H11)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- 5111. Версия UTM»</v>
      </c>
      <c r="C62" s="54" t="s">
        <v>490</v>
      </c>
      <c r="D62" s="123">
        <f>ROUNDUP(D60*0.95*5,0)</f>
        <v>673251</v>
      </c>
      <c r="E62" s="123">
        <f>ROUNDUP(E60*0.95*5,0)</f>
        <v>598234</v>
      </c>
      <c r="F62" s="60">
        <v>0.2</v>
      </c>
      <c r="G62" s="14"/>
    </row>
    <row r="63" spans="1:7" x14ac:dyDescent="0.25">
      <c r="A63" s="446" t="s">
        <v>72</v>
      </c>
      <c r="B63" s="58" t="s">
        <v>1261</v>
      </c>
      <c r="C63" s="49"/>
      <c r="D63" s="124"/>
      <c r="E63" s="125"/>
      <c r="F63" s="51"/>
      <c r="G63" s="53"/>
    </row>
    <row r="64" spans="1:7" ht="25.5" outlineLevel="1" x14ac:dyDescent="0.25">
      <c r="A64" s="447"/>
      <c r="B64" s="42" t="s">
        <v>1311</v>
      </c>
      <c r="C64" s="43" t="s">
        <v>463</v>
      </c>
      <c r="D64" s="121">
        <f>ROUNDUP(289125,0)</f>
        <v>289125</v>
      </c>
      <c r="E64" s="122">
        <f>ROUNDUP(D64*0.95,0)</f>
        <v>274669</v>
      </c>
      <c r="F64" s="45">
        <v>0.2</v>
      </c>
      <c r="G64" s="47" t="s">
        <v>1306</v>
      </c>
    </row>
    <row r="65" spans="1:7" ht="25.5" outlineLevel="1" x14ac:dyDescent="0.25">
      <c r="A65" s="448"/>
      <c r="B65" s="42" t="s">
        <v>1287</v>
      </c>
      <c r="C65" s="43" t="s">
        <v>261</v>
      </c>
      <c r="D65" s="121">
        <f>ROUNDUP(915735-25151,0)</f>
        <v>890584</v>
      </c>
      <c r="E65" s="122">
        <f>ROUNDUP(D65*0.85,0)</f>
        <v>756997</v>
      </c>
      <c r="F65" s="44" t="s">
        <v>4</v>
      </c>
      <c r="G65" s="47"/>
    </row>
    <row r="66" spans="1:7" ht="38.25" outlineLevel="1" x14ac:dyDescent="0.25">
      <c r="A66" s="352" t="s">
        <v>73</v>
      </c>
      <c r="B66" s="106" t="s">
        <v>1221</v>
      </c>
      <c r="C66" s="21" t="s">
        <v>262</v>
      </c>
      <c r="D66" s="120">
        <f>ROUNDUP(D64+((D65)*1.2),0)</f>
        <v>1357826</v>
      </c>
      <c r="E66" s="120">
        <f>ROUNDUP(E64+(E65*1.2),0)</f>
        <v>1183066</v>
      </c>
      <c r="F66" s="24">
        <v>0.2</v>
      </c>
      <c r="G66" s="91" t="s">
        <v>1275</v>
      </c>
    </row>
    <row r="67" spans="1:7" ht="25.5" outlineLevel="1" x14ac:dyDescent="0.25">
      <c r="A67" s="223" t="s">
        <v>74</v>
      </c>
      <c r="B67" s="31" t="str">
        <f>CONCATENATE(H1,H12)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- 5121. Версия UTM»</v>
      </c>
      <c r="C67" s="5" t="s">
        <v>314</v>
      </c>
      <c r="D67" s="120">
        <f>ROUNDUP((D64+D65)*0.2,0)</f>
        <v>235942</v>
      </c>
      <c r="E67" s="120">
        <f>ROUNDUP((E64+E65)*0.2,0)</f>
        <v>206334</v>
      </c>
      <c r="F67" s="107">
        <v>0.2</v>
      </c>
      <c r="G67" s="4"/>
    </row>
    <row r="68" spans="1:7" ht="25.5" outlineLevel="1" x14ac:dyDescent="0.25">
      <c r="A68" s="352" t="s">
        <v>511</v>
      </c>
      <c r="B68" s="22" t="str">
        <f>CONCATENATE(H3,H12)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- 5121. Версия UTM»</v>
      </c>
      <c r="C68" s="21" t="s">
        <v>491</v>
      </c>
      <c r="D68" s="118">
        <f>ROUNDUP(D67*0.97*3,0)</f>
        <v>686592</v>
      </c>
      <c r="E68" s="118">
        <f>ROUNDUP(E67*0.97*3,0)</f>
        <v>600432</v>
      </c>
      <c r="F68" s="107">
        <v>0.2</v>
      </c>
      <c r="G68" s="23"/>
    </row>
    <row r="69" spans="1:7" ht="26.25" outlineLevel="1" thickBot="1" x14ac:dyDescent="0.3">
      <c r="A69" s="219" t="s">
        <v>512</v>
      </c>
      <c r="B69" s="166" t="str">
        <f>CONCATENATE(H4,H12)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- 5121. Версия UTM»</v>
      </c>
      <c r="C69" s="54" t="s">
        <v>492</v>
      </c>
      <c r="D69" s="123">
        <f>ROUNDUP(D67*0.95*5,0)</f>
        <v>1120725</v>
      </c>
      <c r="E69" s="123">
        <f>ROUNDUP(E67*0.95*5,0)</f>
        <v>980087</v>
      </c>
      <c r="F69" s="60">
        <v>0.2</v>
      </c>
      <c r="G69" s="14"/>
    </row>
    <row r="70" spans="1:7" outlineLevel="1" x14ac:dyDescent="0.25">
      <c r="A70" s="446" t="s">
        <v>75</v>
      </c>
      <c r="B70" s="58" t="s">
        <v>1352</v>
      </c>
      <c r="C70" s="49"/>
      <c r="D70" s="124"/>
      <c r="E70" s="125"/>
      <c r="F70" s="51"/>
      <c r="G70" s="53"/>
    </row>
    <row r="71" spans="1:7" ht="25.5" outlineLevel="1" x14ac:dyDescent="0.25">
      <c r="A71" s="447"/>
      <c r="B71" s="42" t="s">
        <v>1347</v>
      </c>
      <c r="C71" s="43" t="s">
        <v>1361</v>
      </c>
      <c r="D71" s="121">
        <v>369600</v>
      </c>
      <c r="E71" s="122">
        <f>ROUNDUP(D71*0.95,0)</f>
        <v>351120</v>
      </c>
      <c r="F71" s="45">
        <v>0.2</v>
      </c>
      <c r="G71" s="47" t="s">
        <v>1364</v>
      </c>
    </row>
    <row r="72" spans="1:7" ht="25.5" outlineLevel="1" x14ac:dyDescent="0.25">
      <c r="A72" s="448"/>
      <c r="B72" s="42" t="s">
        <v>1348</v>
      </c>
      <c r="C72" s="43" t="s">
        <v>1619</v>
      </c>
      <c r="D72" s="121">
        <f>ROUNDUP(461830*1.04,0)-20000</f>
        <v>460304</v>
      </c>
      <c r="E72" s="122">
        <f>ROUNDUP(D72*0.85,0)</f>
        <v>391259</v>
      </c>
      <c r="F72" s="44" t="s">
        <v>4</v>
      </c>
      <c r="G72" s="47"/>
    </row>
    <row r="73" spans="1:7" ht="38.25" outlineLevel="1" x14ac:dyDescent="0.25">
      <c r="A73" s="352" t="s">
        <v>76</v>
      </c>
      <c r="B73" s="106" t="s">
        <v>1349</v>
      </c>
      <c r="C73" s="256" t="s">
        <v>1622</v>
      </c>
      <c r="D73" s="120">
        <f>ROUNDUP(D71+((D72)*1.2),0)</f>
        <v>921965</v>
      </c>
      <c r="E73" s="120">
        <f>ROUNDUP(E71+(E72*1.2),0)</f>
        <v>820631</v>
      </c>
      <c r="F73" s="24">
        <v>0.2</v>
      </c>
      <c r="G73" s="91" t="s">
        <v>1356</v>
      </c>
    </row>
    <row r="74" spans="1:7" ht="25.5" outlineLevel="1" x14ac:dyDescent="0.25">
      <c r="A74" s="223" t="s">
        <v>77</v>
      </c>
      <c r="B74" s="31" t="str">
        <f>CONCATENATE(H1,H21)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- 5201. Версия UTM»</v>
      </c>
      <c r="C74" s="269" t="s">
        <v>1625</v>
      </c>
      <c r="D74" s="120">
        <f>ROUNDUP((D71+D72)*0.2,0)</f>
        <v>165981</v>
      </c>
      <c r="E74" s="120">
        <f>ROUNDUP((E71+E72)*0.2,0)</f>
        <v>148476</v>
      </c>
      <c r="F74" s="107">
        <v>0.2</v>
      </c>
      <c r="G74" s="4"/>
    </row>
    <row r="75" spans="1:7" ht="25.5" outlineLevel="1" x14ac:dyDescent="0.25">
      <c r="A75" s="352" t="s">
        <v>513</v>
      </c>
      <c r="B75" s="22" t="str">
        <f>CONCATENATE(H3,H21)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- 5201. Версия UTM»</v>
      </c>
      <c r="C75" s="256" t="s">
        <v>1626</v>
      </c>
      <c r="D75" s="118">
        <f>ROUNDUP(D74*0.97*3,0)</f>
        <v>483005</v>
      </c>
      <c r="E75" s="118">
        <f>ROUNDUP(E74*0.97*3,0)</f>
        <v>432066</v>
      </c>
      <c r="F75" s="107">
        <v>0.2</v>
      </c>
      <c r="G75" s="23"/>
    </row>
    <row r="76" spans="1:7" ht="26.25" outlineLevel="1" thickBot="1" x14ac:dyDescent="0.3">
      <c r="A76" s="219" t="s">
        <v>514</v>
      </c>
      <c r="B76" s="166" t="str">
        <f>CONCATENATE(H4,H21)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- 5201. Версия UTM»</v>
      </c>
      <c r="C76" s="268" t="s">
        <v>1627</v>
      </c>
      <c r="D76" s="123">
        <f>ROUNDUP(D74*0.95*5,0)</f>
        <v>788410</v>
      </c>
      <c r="E76" s="123">
        <f>ROUNDUP(E74*0.95*5,0)</f>
        <v>705261</v>
      </c>
      <c r="F76" s="60">
        <v>0.2</v>
      </c>
      <c r="G76" s="14"/>
    </row>
    <row r="77" spans="1:7" outlineLevel="1" x14ac:dyDescent="0.25">
      <c r="A77" s="446" t="s">
        <v>78</v>
      </c>
      <c r="B77" s="58" t="s">
        <v>1351</v>
      </c>
      <c r="C77" s="49"/>
      <c r="D77" s="124"/>
      <c r="E77" s="125"/>
      <c r="F77" s="51"/>
      <c r="G77" s="53"/>
    </row>
    <row r="78" spans="1:7" ht="25.5" outlineLevel="1" x14ac:dyDescent="0.25">
      <c r="A78" s="447"/>
      <c r="B78" s="42" t="s">
        <v>1350</v>
      </c>
      <c r="C78" s="43" t="s">
        <v>1362</v>
      </c>
      <c r="D78" s="121">
        <f>ROUNDUP(402192,0)</f>
        <v>402192</v>
      </c>
      <c r="E78" s="122">
        <f>ROUNDUP(D78*0.95,0)</f>
        <v>382083</v>
      </c>
      <c r="F78" s="45">
        <v>0.2</v>
      </c>
      <c r="G78" s="47" t="s">
        <v>1364</v>
      </c>
    </row>
    <row r="79" spans="1:7" ht="25.5" outlineLevel="1" x14ac:dyDescent="0.25">
      <c r="A79" s="448"/>
      <c r="B79" s="42" t="s">
        <v>1353</v>
      </c>
      <c r="C79" s="43" t="s">
        <v>1620</v>
      </c>
      <c r="D79" s="121">
        <f>ROUNDUP(460304-24995,0)</f>
        <v>435309</v>
      </c>
      <c r="E79" s="122">
        <f>ROUNDUP(D79*0.85,0)</f>
        <v>370013</v>
      </c>
      <c r="F79" s="44" t="s">
        <v>4</v>
      </c>
      <c r="G79" s="47"/>
    </row>
    <row r="80" spans="1:7" ht="38.25" outlineLevel="1" x14ac:dyDescent="0.25">
      <c r="A80" s="352" t="s">
        <v>79</v>
      </c>
      <c r="B80" s="106" t="s">
        <v>1354</v>
      </c>
      <c r="C80" s="256" t="s">
        <v>1623</v>
      </c>
      <c r="D80" s="120">
        <f>ROUNDUP(D78+((D79)*1.2),0)</f>
        <v>924563</v>
      </c>
      <c r="E80" s="120">
        <f>ROUNDUP(E78+(E79*1.2),0)</f>
        <v>826099</v>
      </c>
      <c r="F80" s="24">
        <v>0.2</v>
      </c>
      <c r="G80" s="91" t="s">
        <v>1357</v>
      </c>
    </row>
    <row r="81" spans="1:7" ht="25.5" outlineLevel="1" x14ac:dyDescent="0.25">
      <c r="A81" s="223" t="s">
        <v>80</v>
      </c>
      <c r="B81" s="31" t="str">
        <f>CONCATENATE(H1,H22)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- 5211. Версия UTM»</v>
      </c>
      <c r="C81" s="269" t="s">
        <v>1628</v>
      </c>
      <c r="D81" s="120">
        <f>ROUNDUP((D78+D79)*0.2,0)</f>
        <v>167501</v>
      </c>
      <c r="E81" s="120">
        <f>ROUNDUP((E78+E79)*0.2,0)</f>
        <v>150420</v>
      </c>
      <c r="F81" s="107">
        <v>0.2</v>
      </c>
      <c r="G81" s="4"/>
    </row>
    <row r="82" spans="1:7" ht="25.5" outlineLevel="1" x14ac:dyDescent="0.25">
      <c r="A82" s="352" t="s">
        <v>515</v>
      </c>
      <c r="B82" s="22" t="str">
        <f>CONCATENATE(H3,H22)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- 5211. Версия UTM»</v>
      </c>
      <c r="C82" s="256" t="s">
        <v>1629</v>
      </c>
      <c r="D82" s="118">
        <f>ROUNDUP(D81*0.97*3,0)</f>
        <v>487428</v>
      </c>
      <c r="E82" s="118">
        <f>ROUNDUP(E81*0.97*3,0)</f>
        <v>437723</v>
      </c>
      <c r="F82" s="107">
        <v>0.2</v>
      </c>
      <c r="G82" s="23"/>
    </row>
    <row r="83" spans="1:7" ht="26.25" outlineLevel="1" thickBot="1" x14ac:dyDescent="0.3">
      <c r="A83" s="219" t="s">
        <v>516</v>
      </c>
      <c r="B83" s="166" t="str">
        <f>CONCATENATE(H4,H22)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- 5211. Версия UTM»</v>
      </c>
      <c r="C83" s="268" t="s">
        <v>1630</v>
      </c>
      <c r="D83" s="123">
        <f>ROUNDUP(D81*0.95*5,0)</f>
        <v>795630</v>
      </c>
      <c r="E83" s="123">
        <f>ROUNDUP(E81*0.95*5,0)</f>
        <v>714495</v>
      </c>
      <c r="F83" s="60">
        <v>0.2</v>
      </c>
      <c r="G83" s="14"/>
    </row>
    <row r="84" spans="1:7" outlineLevel="1" x14ac:dyDescent="0.25">
      <c r="A84" s="446" t="s">
        <v>81</v>
      </c>
      <c r="B84" s="58" t="s">
        <v>1355</v>
      </c>
      <c r="C84" s="49"/>
      <c r="D84" s="124"/>
      <c r="E84" s="125"/>
      <c r="F84" s="51"/>
      <c r="G84" s="53"/>
    </row>
    <row r="85" spans="1:7" ht="25.5" outlineLevel="1" x14ac:dyDescent="0.25">
      <c r="A85" s="447"/>
      <c r="B85" s="42" t="s">
        <v>1358</v>
      </c>
      <c r="C85" s="43" t="s">
        <v>1363</v>
      </c>
      <c r="D85" s="121">
        <f>ROUNDUP(421344,0)</f>
        <v>421344</v>
      </c>
      <c r="E85" s="122">
        <f>ROUNDUP(D85*0.95,0)</f>
        <v>400277</v>
      </c>
      <c r="F85" s="45">
        <v>0.2</v>
      </c>
      <c r="G85" s="47" t="s">
        <v>1364</v>
      </c>
    </row>
    <row r="86" spans="1:7" ht="25.5" outlineLevel="1" x14ac:dyDescent="0.25">
      <c r="A86" s="448"/>
      <c r="B86" s="42" t="s">
        <v>1359</v>
      </c>
      <c r="C86" s="43" t="s">
        <v>1621</v>
      </c>
      <c r="D86" s="121">
        <f>ROUNDUP(915735-25151,0)</f>
        <v>890584</v>
      </c>
      <c r="E86" s="122">
        <f>ROUNDUP(D86*0.85,0)</f>
        <v>756997</v>
      </c>
      <c r="F86" s="44" t="s">
        <v>4</v>
      </c>
      <c r="G86" s="47"/>
    </row>
    <row r="87" spans="1:7" ht="38.25" outlineLevel="1" x14ac:dyDescent="0.25">
      <c r="A87" s="352" t="s">
        <v>82</v>
      </c>
      <c r="B87" s="106" t="s">
        <v>1360</v>
      </c>
      <c r="C87" s="256" t="s">
        <v>1624</v>
      </c>
      <c r="D87" s="120">
        <f>ROUNDUP(D85+((D86)*1.2),0)</f>
        <v>1490045</v>
      </c>
      <c r="E87" s="120">
        <f>ROUNDUP(E85+(E86*1.2),0)</f>
        <v>1308674</v>
      </c>
      <c r="F87" s="24">
        <v>0.2</v>
      </c>
      <c r="G87" s="91" t="s">
        <v>1275</v>
      </c>
    </row>
    <row r="88" spans="1:7" ht="25.5" outlineLevel="1" x14ac:dyDescent="0.25">
      <c r="A88" s="223" t="s">
        <v>83</v>
      </c>
      <c r="B88" s="31" t="str">
        <f>CONCATENATE(H1,H23)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- 5221. Версия UTM»</v>
      </c>
      <c r="C88" s="269" t="s">
        <v>1631</v>
      </c>
      <c r="D88" s="120">
        <f>ROUNDUP((D85+D86)*0.2,0)</f>
        <v>262386</v>
      </c>
      <c r="E88" s="120">
        <f>ROUNDUP((E85+E86)*0.2,0)</f>
        <v>231455</v>
      </c>
      <c r="F88" s="107">
        <v>0.2</v>
      </c>
      <c r="G88" s="4"/>
    </row>
    <row r="89" spans="1:7" ht="25.5" outlineLevel="1" x14ac:dyDescent="0.25">
      <c r="A89" s="352" t="s">
        <v>517</v>
      </c>
      <c r="B89" s="22" t="str">
        <f>CONCATENATE(H3,H23)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- 5221. Версия UTM»</v>
      </c>
      <c r="C89" s="256" t="s">
        <v>1632</v>
      </c>
      <c r="D89" s="118">
        <f>ROUNDUP(D88*0.97*3,0)</f>
        <v>763544</v>
      </c>
      <c r="E89" s="118">
        <f>ROUNDUP(E88*0.97*3,0)</f>
        <v>673535</v>
      </c>
      <c r="F89" s="107">
        <v>0.2</v>
      </c>
      <c r="G89" s="23"/>
    </row>
    <row r="90" spans="1:7" ht="26.25" outlineLevel="1" thickBot="1" x14ac:dyDescent="0.3">
      <c r="A90" s="219" t="s">
        <v>518</v>
      </c>
      <c r="B90" s="166" t="str">
        <f>CONCATENATE(H4,H23)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- 5221. Версия UTM»</v>
      </c>
      <c r="C90" s="268" t="s">
        <v>1633</v>
      </c>
      <c r="D90" s="123">
        <f>ROUNDUP(D88*0.95*5,0)</f>
        <v>1246334</v>
      </c>
      <c r="E90" s="123">
        <f>ROUNDUP(E88*0.95*5,0)</f>
        <v>1099412</v>
      </c>
      <c r="F90" s="60">
        <v>0.2</v>
      </c>
      <c r="G90" s="14"/>
    </row>
    <row r="91" spans="1:7" x14ac:dyDescent="0.25">
      <c r="A91" s="446" t="s">
        <v>84</v>
      </c>
      <c r="B91" s="58" t="s">
        <v>1262</v>
      </c>
      <c r="C91" s="49"/>
      <c r="D91" s="124"/>
      <c r="E91" s="125"/>
      <c r="F91" s="51"/>
      <c r="G91" s="56"/>
    </row>
    <row r="92" spans="1:7" ht="38.25" outlineLevel="1" x14ac:dyDescent="0.25">
      <c r="A92" s="447"/>
      <c r="B92" s="42" t="s">
        <v>1312</v>
      </c>
      <c r="C92" s="43" t="s">
        <v>464</v>
      </c>
      <c r="D92" s="121">
        <f>ROUNDUP(371250,0)</f>
        <v>371250</v>
      </c>
      <c r="E92" s="122">
        <f>ROUNDUP(D92*0.95,0)</f>
        <v>352688</v>
      </c>
      <c r="F92" s="45">
        <v>0.2</v>
      </c>
      <c r="G92" s="48" t="s">
        <v>1307</v>
      </c>
    </row>
    <row r="93" spans="1:7" ht="25.5" outlineLevel="1" x14ac:dyDescent="0.25">
      <c r="A93" s="448"/>
      <c r="B93" s="42" t="s">
        <v>1403</v>
      </c>
      <c r="C93" s="43" t="s">
        <v>263</v>
      </c>
      <c r="D93" s="121">
        <f>ROUNDUP(904218-35718,0)</f>
        <v>868500</v>
      </c>
      <c r="E93" s="122">
        <f>ROUNDUP(D93*0.85,0)</f>
        <v>738225</v>
      </c>
      <c r="F93" s="44" t="s">
        <v>4</v>
      </c>
      <c r="G93" s="48"/>
    </row>
    <row r="94" spans="1:7" ht="38.25" outlineLevel="1" x14ac:dyDescent="0.25">
      <c r="A94" s="352" t="s">
        <v>85</v>
      </c>
      <c r="B94" s="106" t="s">
        <v>1222</v>
      </c>
      <c r="C94" s="21" t="s">
        <v>264</v>
      </c>
      <c r="D94" s="120">
        <f>ROUNDUP(D92+((D93)*1.2),0)</f>
        <v>1413450</v>
      </c>
      <c r="E94" s="120">
        <f>ROUNDUP(E92+(E93*1.2),0)</f>
        <v>1238558</v>
      </c>
      <c r="F94" s="24">
        <v>0.2</v>
      </c>
      <c r="G94" s="91" t="s">
        <v>1276</v>
      </c>
    </row>
    <row r="95" spans="1:7" ht="25.5" outlineLevel="1" x14ac:dyDescent="0.25">
      <c r="A95" s="223" t="s">
        <v>86</v>
      </c>
      <c r="B95" s="31" t="str">
        <f>CONCATENATE(H1,H13)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- 6101. Версия UTM»</v>
      </c>
      <c r="C95" s="5" t="s">
        <v>315</v>
      </c>
      <c r="D95" s="120">
        <f>ROUNDUP((D92+D93)*0.2,0)</f>
        <v>247950</v>
      </c>
      <c r="E95" s="120">
        <f>ROUNDUP((E92+E93)*0.2,0)</f>
        <v>218183</v>
      </c>
      <c r="F95" s="107">
        <v>0.2</v>
      </c>
      <c r="G95" s="93"/>
    </row>
    <row r="96" spans="1:7" ht="25.5" outlineLevel="1" x14ac:dyDescent="0.25">
      <c r="A96" s="352" t="s">
        <v>519</v>
      </c>
      <c r="B96" s="22" t="str">
        <f>CONCATENATE(H3,H13)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- 6101. Версия UTM»</v>
      </c>
      <c r="C96" s="21" t="s">
        <v>493</v>
      </c>
      <c r="D96" s="118">
        <f>ROUNDUP(D95*0.97*3,0)</f>
        <v>721535</v>
      </c>
      <c r="E96" s="118">
        <f>ROUNDUP(E95*0.97*3,0)</f>
        <v>634913</v>
      </c>
      <c r="F96" s="107">
        <v>0.2</v>
      </c>
      <c r="G96" s="197"/>
    </row>
    <row r="97" spans="1:7" ht="26.25" outlineLevel="1" thickBot="1" x14ac:dyDescent="0.3">
      <c r="A97" s="219" t="s">
        <v>520</v>
      </c>
      <c r="B97" s="166" t="str">
        <f>CONCATENATE(H4,H13)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- 6101. Версия UTM»</v>
      </c>
      <c r="C97" s="54" t="s">
        <v>494</v>
      </c>
      <c r="D97" s="123">
        <f>ROUNDUP(D95*0.95*5,0)</f>
        <v>1177763</v>
      </c>
      <c r="E97" s="123">
        <f>ROUNDUP(E95*0.95*5,0)</f>
        <v>1036370</v>
      </c>
      <c r="F97" s="60">
        <v>0.2</v>
      </c>
      <c r="G97" s="57"/>
    </row>
    <row r="98" spans="1:7" x14ac:dyDescent="0.25">
      <c r="A98" s="446" t="s">
        <v>87</v>
      </c>
      <c r="B98" s="58" t="s">
        <v>1263</v>
      </c>
      <c r="C98" s="49"/>
      <c r="D98" s="124"/>
      <c r="E98" s="125"/>
      <c r="F98" s="51"/>
      <c r="G98" s="56"/>
    </row>
    <row r="99" spans="1:7" ht="38.25" outlineLevel="1" x14ac:dyDescent="0.25">
      <c r="A99" s="447"/>
      <c r="B99" s="42" t="s">
        <v>1112</v>
      </c>
      <c r="C99" s="43" t="s">
        <v>465</v>
      </c>
      <c r="D99" s="121">
        <f>ROUNDUP(558000,0)</f>
        <v>558000</v>
      </c>
      <c r="E99" s="122">
        <f>ROUNDUP(D99*0.95,0)</f>
        <v>530100</v>
      </c>
      <c r="F99" s="45">
        <v>0.2</v>
      </c>
      <c r="G99" s="48" t="s">
        <v>1307</v>
      </c>
    </row>
    <row r="100" spans="1:7" ht="25.5" outlineLevel="1" x14ac:dyDescent="0.25">
      <c r="A100" s="448"/>
      <c r="B100" s="42" t="s">
        <v>1288</v>
      </c>
      <c r="C100" s="43" t="s">
        <v>265</v>
      </c>
      <c r="D100" s="121">
        <f>ROUNDUP(1911785-58594,0)</f>
        <v>1853191</v>
      </c>
      <c r="E100" s="122">
        <f>ROUNDUP(D100*0.85,0)</f>
        <v>1575213</v>
      </c>
      <c r="F100" s="44" t="s">
        <v>4</v>
      </c>
      <c r="G100" s="48"/>
    </row>
    <row r="101" spans="1:7" ht="38.25" outlineLevel="1" x14ac:dyDescent="0.25">
      <c r="A101" s="352" t="s">
        <v>88</v>
      </c>
      <c r="B101" s="106" t="s">
        <v>1223</v>
      </c>
      <c r="C101" s="21" t="s">
        <v>266</v>
      </c>
      <c r="D101" s="120">
        <f>ROUNDUP(D99+((D100)*1.2),0)</f>
        <v>2781830</v>
      </c>
      <c r="E101" s="120">
        <f>ROUNDUP(E99+(E100*1.2),0)</f>
        <v>2420356</v>
      </c>
      <c r="F101" s="24">
        <v>0.2</v>
      </c>
      <c r="G101" s="91" t="s">
        <v>1277</v>
      </c>
    </row>
    <row r="102" spans="1:7" ht="25.5" outlineLevel="1" x14ac:dyDescent="0.25">
      <c r="A102" s="223" t="s">
        <v>89</v>
      </c>
      <c r="B102" s="31" t="str">
        <f>CONCATENATE(H1,H14)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- 7101. Версия UTM»</v>
      </c>
      <c r="C102" s="5" t="s">
        <v>316</v>
      </c>
      <c r="D102" s="120">
        <f>ROUNDUP((D99+D100)*0.2,0)</f>
        <v>482239</v>
      </c>
      <c r="E102" s="120">
        <f>ROUNDUP((E99+E100)*0.2,0)</f>
        <v>421063</v>
      </c>
      <c r="F102" s="107">
        <v>0.2</v>
      </c>
      <c r="G102" s="93"/>
    </row>
    <row r="103" spans="1:7" ht="25.5" outlineLevel="1" x14ac:dyDescent="0.25">
      <c r="A103" s="352" t="s">
        <v>521</v>
      </c>
      <c r="B103" s="22" t="str">
        <f>CONCATENATE(H3,H14)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- 7101. Версия UTM»</v>
      </c>
      <c r="C103" s="21" t="s">
        <v>495</v>
      </c>
      <c r="D103" s="118">
        <f>ROUNDUP(D102*0.97*3,0)</f>
        <v>1403316</v>
      </c>
      <c r="E103" s="118">
        <f>ROUNDUP(E102*0.97*3,0)</f>
        <v>1225294</v>
      </c>
      <c r="F103" s="107">
        <v>0.2</v>
      </c>
      <c r="G103" s="197"/>
    </row>
    <row r="104" spans="1:7" ht="26.25" outlineLevel="1" thickBot="1" x14ac:dyDescent="0.3">
      <c r="A104" s="219" t="s">
        <v>522</v>
      </c>
      <c r="B104" s="166" t="str">
        <f>CONCATENATE(H4,H14)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- 7101. Версия UTM»</v>
      </c>
      <c r="C104" s="54" t="s">
        <v>496</v>
      </c>
      <c r="D104" s="123">
        <f>ROUNDUP(D102*0.95*5,0)</f>
        <v>2290636</v>
      </c>
      <c r="E104" s="123">
        <f>ROUNDUP(E102*0.95*5,0)</f>
        <v>2000050</v>
      </c>
      <c r="F104" s="60">
        <v>0.2</v>
      </c>
      <c r="G104" s="57"/>
    </row>
    <row r="105" spans="1:7" x14ac:dyDescent="0.25">
      <c r="A105" s="446" t="s">
        <v>90</v>
      </c>
      <c r="B105" s="58" t="s">
        <v>1264</v>
      </c>
      <c r="C105" s="49"/>
      <c r="D105" s="124"/>
      <c r="E105" s="125"/>
      <c r="F105" s="51"/>
      <c r="G105" s="56"/>
    </row>
    <row r="106" spans="1:7" ht="38.25" outlineLevel="1" x14ac:dyDescent="0.25">
      <c r="A106" s="447"/>
      <c r="B106" s="42" t="s">
        <v>1113</v>
      </c>
      <c r="C106" s="43" t="s">
        <v>466</v>
      </c>
      <c r="D106" s="121">
        <f>ROUNDUP(994500,0)</f>
        <v>994500</v>
      </c>
      <c r="E106" s="122">
        <f>ROUNDUP(D106*0.95,0)</f>
        <v>944775</v>
      </c>
      <c r="F106" s="45">
        <v>0.2</v>
      </c>
      <c r="G106" s="48" t="s">
        <v>1307</v>
      </c>
    </row>
    <row r="107" spans="1:7" ht="25.5" outlineLevel="1" x14ac:dyDescent="0.25">
      <c r="A107" s="448"/>
      <c r="B107" s="42" t="s">
        <v>1289</v>
      </c>
      <c r="C107" s="43" t="s">
        <v>267</v>
      </c>
      <c r="D107" s="121">
        <f>ROUNDUP(4866118-78802,0)</f>
        <v>4787316</v>
      </c>
      <c r="E107" s="122">
        <f>ROUNDUP(D107*0.85,0)</f>
        <v>4069219</v>
      </c>
      <c r="F107" s="44" t="s">
        <v>4</v>
      </c>
      <c r="G107" s="48"/>
    </row>
    <row r="108" spans="1:7" ht="38.25" outlineLevel="1" x14ac:dyDescent="0.25">
      <c r="A108" s="352" t="s">
        <v>91</v>
      </c>
      <c r="B108" s="106" t="s">
        <v>1224</v>
      </c>
      <c r="C108" s="21" t="s">
        <v>268</v>
      </c>
      <c r="D108" s="120">
        <f>ROUNDUP(D106+((D107)*1.2),0)</f>
        <v>6739280</v>
      </c>
      <c r="E108" s="120">
        <f>ROUNDUP(E106+(E107*1.2),0)</f>
        <v>5827838</v>
      </c>
      <c r="F108" s="24">
        <v>0.2</v>
      </c>
      <c r="G108" s="91" t="s">
        <v>1278</v>
      </c>
    </row>
    <row r="109" spans="1:7" ht="25.5" outlineLevel="1" x14ac:dyDescent="0.25">
      <c r="A109" s="223" t="s">
        <v>92</v>
      </c>
      <c r="B109" s="31" t="str">
        <f>CONCATENATE(H1,H15)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- 7141. Версия UTM»</v>
      </c>
      <c r="C109" s="5" t="s">
        <v>317</v>
      </c>
      <c r="D109" s="120">
        <f>ROUNDUP((D106+D107)*0.2,0)</f>
        <v>1156364</v>
      </c>
      <c r="E109" s="120">
        <f>ROUNDUP((E106+E107)*0.2,0)</f>
        <v>1002799</v>
      </c>
      <c r="F109" s="107">
        <v>0.2</v>
      </c>
      <c r="G109" s="93"/>
    </row>
    <row r="110" spans="1:7" ht="25.5" outlineLevel="1" x14ac:dyDescent="0.25">
      <c r="A110" s="352" t="s">
        <v>523</v>
      </c>
      <c r="B110" s="22" t="str">
        <f>CONCATENATE(H3,H15)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- 7141. Версия UTM»</v>
      </c>
      <c r="C110" s="21" t="s">
        <v>497</v>
      </c>
      <c r="D110" s="118">
        <f>ROUNDUP(D109*0.97*3,0)</f>
        <v>3365020</v>
      </c>
      <c r="E110" s="118">
        <f>ROUNDUP(E109*0.97*3,0)</f>
        <v>2918146</v>
      </c>
      <c r="F110" s="107">
        <v>0.2</v>
      </c>
      <c r="G110" s="197"/>
    </row>
    <row r="111" spans="1:7" ht="26.25" outlineLevel="1" thickBot="1" x14ac:dyDescent="0.3">
      <c r="A111" s="219" t="s">
        <v>524</v>
      </c>
      <c r="B111" s="166" t="str">
        <f>CONCATENATE(H4,H15)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- 7141. Версия UTM»</v>
      </c>
      <c r="C111" s="54" t="s">
        <v>498</v>
      </c>
      <c r="D111" s="123">
        <f>ROUNDUP(D109*0.95*5,0)</f>
        <v>5492729</v>
      </c>
      <c r="E111" s="123">
        <f>ROUNDUP(E109*0.95*5,0)</f>
        <v>4763296</v>
      </c>
      <c r="F111" s="60">
        <v>0.2</v>
      </c>
      <c r="G111" s="57"/>
    </row>
    <row r="112" spans="1:7" x14ac:dyDescent="0.25">
      <c r="A112" s="446" t="s">
        <v>93</v>
      </c>
      <c r="B112" s="58" t="s">
        <v>1265</v>
      </c>
      <c r="C112" s="98"/>
      <c r="D112" s="184"/>
      <c r="E112" s="125"/>
      <c r="F112" s="51"/>
      <c r="G112" s="56"/>
    </row>
    <row r="113" spans="1:7" ht="38.25" outlineLevel="1" x14ac:dyDescent="0.25">
      <c r="A113" s="447"/>
      <c r="B113" s="42" t="s">
        <v>1114</v>
      </c>
      <c r="C113" s="43" t="s">
        <v>467</v>
      </c>
      <c r="D113" s="121">
        <f>ROUNDUP(13070*K6*1.68,0)</f>
        <v>1866396</v>
      </c>
      <c r="E113" s="122">
        <f>ROUNDUP(D113*0.95,0)</f>
        <v>1773077</v>
      </c>
      <c r="F113" s="45">
        <v>0.2</v>
      </c>
      <c r="G113" s="48" t="s">
        <v>1307</v>
      </c>
    </row>
    <row r="114" spans="1:7" ht="25.5" outlineLevel="1" x14ac:dyDescent="0.25">
      <c r="A114" s="448"/>
      <c r="B114" s="42" t="s">
        <v>1290</v>
      </c>
      <c r="C114" s="43" t="s">
        <v>269</v>
      </c>
      <c r="D114" s="121">
        <f>ROUNDUP(5328190*1.04,0)-20000</f>
        <v>5521318</v>
      </c>
      <c r="E114" s="122">
        <f>ROUNDUP(D114*0.85,0)</f>
        <v>4693121</v>
      </c>
      <c r="F114" s="44" t="s">
        <v>4</v>
      </c>
      <c r="G114" s="48"/>
    </row>
    <row r="115" spans="1:7" ht="38.25" outlineLevel="1" x14ac:dyDescent="0.25">
      <c r="A115" s="352" t="s">
        <v>94</v>
      </c>
      <c r="B115" s="106" t="s">
        <v>1225</v>
      </c>
      <c r="C115" s="21" t="s">
        <v>270</v>
      </c>
      <c r="D115" s="120">
        <f>ROUNDUP(D113+((D114)*1.2),0)</f>
        <v>8491978</v>
      </c>
      <c r="E115" s="120">
        <f>ROUNDUP(E113+(E114*1.2),0)</f>
        <v>7404823</v>
      </c>
      <c r="F115" s="24">
        <v>0.2</v>
      </c>
      <c r="G115" s="91" t="s">
        <v>1279</v>
      </c>
    </row>
    <row r="116" spans="1:7" ht="25.5" outlineLevel="1" x14ac:dyDescent="0.25">
      <c r="A116" s="223" t="s">
        <v>95</v>
      </c>
      <c r="B116" s="31" t="str">
        <f>CONCATENATE(H1,H16)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- 7151. Версия UTM»</v>
      </c>
      <c r="C116" s="5" t="s">
        <v>306</v>
      </c>
      <c r="D116" s="120">
        <f>ROUNDUP((D113+D114)*0.2,0)</f>
        <v>1477543</v>
      </c>
      <c r="E116" s="120">
        <f>ROUNDUP((E113+E114)*0.2,0)</f>
        <v>1293240</v>
      </c>
      <c r="F116" s="107">
        <v>0.2</v>
      </c>
      <c r="G116" s="93"/>
    </row>
    <row r="117" spans="1:7" ht="25.5" outlineLevel="1" x14ac:dyDescent="0.25">
      <c r="A117" s="352" t="s">
        <v>525</v>
      </c>
      <c r="B117" s="22" t="str">
        <f>CONCATENATE(H3,H16)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- 7151. Версия UTM»</v>
      </c>
      <c r="C117" s="21" t="s">
        <v>499</v>
      </c>
      <c r="D117" s="118">
        <f>ROUNDUP(D116*0.97*3,0)</f>
        <v>4299651</v>
      </c>
      <c r="E117" s="118">
        <f>ROUNDUP(E116*0.97*3,0)</f>
        <v>3763329</v>
      </c>
      <c r="F117" s="107">
        <v>0.2</v>
      </c>
      <c r="G117" s="197"/>
    </row>
    <row r="118" spans="1:7" ht="26.25" outlineLevel="1" thickBot="1" x14ac:dyDescent="0.3">
      <c r="A118" s="219" t="s">
        <v>526</v>
      </c>
      <c r="B118" s="166" t="str">
        <f>CONCATENATE(H4,H16)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- 7151. Версия UTM»</v>
      </c>
      <c r="C118" s="54" t="s">
        <v>500</v>
      </c>
      <c r="D118" s="123">
        <f>ROUNDUP(D116*0.95*5,0)</f>
        <v>7018330</v>
      </c>
      <c r="E118" s="123">
        <f>ROUNDUP(E116*0.95*5,0)</f>
        <v>6142890</v>
      </c>
      <c r="F118" s="60">
        <v>0.2</v>
      </c>
      <c r="G118" s="57"/>
    </row>
    <row r="119" spans="1:7" x14ac:dyDescent="0.25">
      <c r="A119" s="446" t="s">
        <v>830</v>
      </c>
      <c r="B119" s="58" t="s">
        <v>1266</v>
      </c>
      <c r="C119" s="49"/>
      <c r="D119" s="124"/>
      <c r="E119" s="125"/>
      <c r="F119" s="51"/>
      <c r="G119" s="53"/>
    </row>
    <row r="120" spans="1:7" ht="38.25" outlineLevel="1" x14ac:dyDescent="0.25">
      <c r="A120" s="447"/>
      <c r="B120" s="42" t="s">
        <v>1115</v>
      </c>
      <c r="C120" s="43" t="s">
        <v>468</v>
      </c>
      <c r="D120" s="121">
        <f>ROUNDUP(662*K6*1.28,0)</f>
        <v>72026</v>
      </c>
      <c r="E120" s="122">
        <f>ROUNDUP(D120*0.95,0)</f>
        <v>68425</v>
      </c>
      <c r="F120" s="45">
        <v>0.2</v>
      </c>
      <c r="G120" s="47" t="s">
        <v>1268</v>
      </c>
    </row>
    <row r="121" spans="1:7" ht="25.5" outlineLevel="1" x14ac:dyDescent="0.25">
      <c r="A121" s="448"/>
      <c r="B121" s="42" t="s">
        <v>1291</v>
      </c>
      <c r="C121" s="43" t="s">
        <v>271</v>
      </c>
      <c r="D121" s="121">
        <f>ROUNDUP(263223.67*1.04,0)-20000</f>
        <v>253753</v>
      </c>
      <c r="E121" s="121">
        <f>ROUNDUP(D121*0.85,0)</f>
        <v>215691</v>
      </c>
      <c r="F121" s="44" t="s">
        <v>4</v>
      </c>
      <c r="G121" s="47"/>
    </row>
    <row r="122" spans="1:7" ht="38.25" outlineLevel="1" x14ac:dyDescent="0.25">
      <c r="A122" s="352" t="s">
        <v>831</v>
      </c>
      <c r="B122" s="106" t="s">
        <v>1226</v>
      </c>
      <c r="C122" s="21" t="s">
        <v>272</v>
      </c>
      <c r="D122" s="120">
        <f>ROUNDUP(D120+((D121)*1.2),0)</f>
        <v>376530</v>
      </c>
      <c r="E122" s="120">
        <f>ROUNDUP(E120+((E121+35600*0.85)*1.2),0)</f>
        <v>363567</v>
      </c>
      <c r="F122" s="24">
        <v>0.2</v>
      </c>
      <c r="G122" s="91" t="s">
        <v>1280</v>
      </c>
    </row>
    <row r="123" spans="1:7" ht="25.5" outlineLevel="1" x14ac:dyDescent="0.25">
      <c r="A123" s="223" t="s">
        <v>832</v>
      </c>
      <c r="B123" s="31" t="str">
        <f>CONCATENATE(H1,H17)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- 8101. Версия UTM»</v>
      </c>
      <c r="C123" s="5" t="s">
        <v>307</v>
      </c>
      <c r="D123" s="120">
        <f>ROUNDUP((D120+D121)*0.2,0)</f>
        <v>65156</v>
      </c>
      <c r="E123" s="120">
        <f>ROUNDUP((E120+E121)*0.2,0)</f>
        <v>56824</v>
      </c>
      <c r="F123" s="107">
        <v>0.2</v>
      </c>
      <c r="G123" s="4"/>
    </row>
    <row r="124" spans="1:7" ht="25.5" outlineLevel="1" x14ac:dyDescent="0.25">
      <c r="A124" s="352" t="s">
        <v>833</v>
      </c>
      <c r="B124" s="22" t="str">
        <f>CONCATENATE(H3,H17)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- 8101. Версия UTM»</v>
      </c>
      <c r="C124" s="21" t="s">
        <v>501</v>
      </c>
      <c r="D124" s="118">
        <f>ROUNDUP(D123*0.97*3,0)</f>
        <v>189604</v>
      </c>
      <c r="E124" s="118">
        <f>ROUNDUP(E123*0.97*3,0)</f>
        <v>165358</v>
      </c>
      <c r="F124" s="107">
        <v>0.2</v>
      </c>
      <c r="G124" s="23"/>
    </row>
    <row r="125" spans="1:7" ht="26.25" outlineLevel="1" thickBot="1" x14ac:dyDescent="0.3">
      <c r="A125" s="219" t="s">
        <v>834</v>
      </c>
      <c r="B125" s="166" t="str">
        <f>CONCATENATE(H4,H17)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- 8101. Версия UTM»</v>
      </c>
      <c r="C125" s="54" t="s">
        <v>502</v>
      </c>
      <c r="D125" s="123">
        <f>ROUNDUP(D123*0.95*5,0)</f>
        <v>309491</v>
      </c>
      <c r="E125" s="123">
        <f>ROUNDUP(E123*0.95*5,0)</f>
        <v>269914</v>
      </c>
      <c r="F125" s="60">
        <v>0.2</v>
      </c>
      <c r="G125" s="14"/>
    </row>
    <row r="126" spans="1:7" ht="15.75" thickBot="1" x14ac:dyDescent="0.3">
      <c r="A126" s="396"/>
      <c r="B126" s="397" t="s">
        <v>33</v>
      </c>
      <c r="C126" s="16"/>
      <c r="D126" s="398"/>
      <c r="E126" s="398"/>
      <c r="F126" s="399"/>
      <c r="G126" s="400"/>
    </row>
    <row r="127" spans="1:7" outlineLevel="1" x14ac:dyDescent="0.25">
      <c r="A127" s="430">
        <v>17</v>
      </c>
      <c r="B127" s="427" t="s">
        <v>38</v>
      </c>
      <c r="C127" s="21" t="s">
        <v>183</v>
      </c>
      <c r="D127" s="401">
        <v>500</v>
      </c>
      <c r="E127" s="401">
        <f>D127*0.85</f>
        <v>425</v>
      </c>
      <c r="F127" s="402">
        <v>0.2</v>
      </c>
      <c r="G127" s="105" t="s">
        <v>34</v>
      </c>
    </row>
    <row r="128" spans="1:7" outlineLevel="1" x14ac:dyDescent="0.25">
      <c r="A128" s="431">
        <v>18</v>
      </c>
      <c r="B128" s="428" t="s">
        <v>473</v>
      </c>
      <c r="C128" s="21" t="s">
        <v>474</v>
      </c>
      <c r="D128" s="118">
        <v>500</v>
      </c>
      <c r="E128" s="118">
        <f>D128*0.85</f>
        <v>425</v>
      </c>
      <c r="F128" s="188">
        <v>0.2</v>
      </c>
      <c r="G128" s="23" t="s">
        <v>34</v>
      </c>
    </row>
    <row r="129" spans="1:7" ht="26.25" outlineLevel="1" thickBot="1" x14ac:dyDescent="0.3">
      <c r="A129" s="432">
        <v>19</v>
      </c>
      <c r="B129" s="429" t="s">
        <v>39</v>
      </c>
      <c r="C129" s="54" t="s">
        <v>184</v>
      </c>
      <c r="D129" s="123">
        <f>12500*1.04</f>
        <v>13000</v>
      </c>
      <c r="E129" s="123">
        <f>D129*0.85</f>
        <v>11050</v>
      </c>
      <c r="F129" s="60">
        <v>0.2</v>
      </c>
      <c r="G129" s="14" t="s">
        <v>36</v>
      </c>
    </row>
    <row r="130" spans="1:7" ht="64.5" outlineLevel="1" thickBot="1" x14ac:dyDescent="0.3">
      <c r="A130" s="226"/>
      <c r="B130" s="94" t="s">
        <v>829</v>
      </c>
      <c r="C130" s="95"/>
      <c r="D130" s="96"/>
      <c r="E130" s="96"/>
      <c r="F130" s="96"/>
      <c r="G130" s="97" t="s">
        <v>1046</v>
      </c>
    </row>
    <row r="131" spans="1:7" ht="77.25" outlineLevel="1" thickBot="1" x14ac:dyDescent="0.3">
      <c r="A131" s="215">
        <v>20</v>
      </c>
      <c r="B131" s="291" t="s">
        <v>1392</v>
      </c>
      <c r="C131" s="174" t="s">
        <v>368</v>
      </c>
      <c r="D131" s="83">
        <v>0.2</v>
      </c>
      <c r="E131" s="83">
        <v>0.2</v>
      </c>
      <c r="F131" s="110">
        <v>0.2</v>
      </c>
      <c r="G131" s="105" t="s">
        <v>1048</v>
      </c>
    </row>
    <row r="132" spans="1:7" ht="102.75" outlineLevel="1" thickBot="1" x14ac:dyDescent="0.3">
      <c r="A132" s="215">
        <v>21</v>
      </c>
      <c r="B132" s="213" t="s">
        <v>1393</v>
      </c>
      <c r="C132" s="174" t="s">
        <v>681</v>
      </c>
      <c r="D132" s="83">
        <v>0.2</v>
      </c>
      <c r="E132" s="83">
        <v>0.2</v>
      </c>
      <c r="F132" s="110">
        <v>0.2</v>
      </c>
      <c r="G132" s="6" t="s">
        <v>1313</v>
      </c>
    </row>
    <row r="133" spans="1:7" ht="77.25" thickBot="1" x14ac:dyDescent="0.3">
      <c r="A133" s="215">
        <v>22</v>
      </c>
      <c r="B133" s="290" t="s">
        <v>1394</v>
      </c>
      <c r="C133" s="174" t="s">
        <v>682</v>
      </c>
      <c r="D133" s="83">
        <v>0.2</v>
      </c>
      <c r="E133" s="83">
        <v>0.2</v>
      </c>
      <c r="F133" s="110">
        <v>0.2</v>
      </c>
      <c r="G133" s="23" t="s">
        <v>1314</v>
      </c>
    </row>
    <row r="134" spans="1:7" ht="77.25" outlineLevel="1" thickBot="1" x14ac:dyDescent="0.3">
      <c r="A134" s="215">
        <v>23</v>
      </c>
      <c r="B134" s="169" t="s">
        <v>1395</v>
      </c>
      <c r="C134" s="174" t="s">
        <v>426</v>
      </c>
      <c r="D134" s="13">
        <v>0.3</v>
      </c>
      <c r="E134" s="13">
        <v>0.3</v>
      </c>
      <c r="F134" s="110">
        <v>0.2</v>
      </c>
      <c r="G134" s="6" t="s">
        <v>1039</v>
      </c>
    </row>
    <row r="135" spans="1:7" ht="77.25" outlineLevel="1" thickBot="1" x14ac:dyDescent="0.3">
      <c r="A135" s="215">
        <v>24</v>
      </c>
      <c r="B135" s="169" t="s">
        <v>1396</v>
      </c>
      <c r="C135" s="174" t="s">
        <v>683</v>
      </c>
      <c r="D135" s="13">
        <v>0.3</v>
      </c>
      <c r="E135" s="13">
        <v>0.3</v>
      </c>
      <c r="F135" s="110">
        <v>0.2</v>
      </c>
      <c r="G135" s="6" t="s">
        <v>1320</v>
      </c>
    </row>
    <row r="136" spans="1:7" ht="77.25" outlineLevel="1" thickBot="1" x14ac:dyDescent="0.3">
      <c r="A136" s="215">
        <v>25</v>
      </c>
      <c r="B136" s="169" t="s">
        <v>1397</v>
      </c>
      <c r="C136" s="174" t="s">
        <v>684</v>
      </c>
      <c r="D136" s="13">
        <v>0.3</v>
      </c>
      <c r="E136" s="13">
        <v>0.3</v>
      </c>
      <c r="F136" s="110">
        <v>0.2</v>
      </c>
      <c r="G136" s="6" t="s">
        <v>1041</v>
      </c>
    </row>
    <row r="137" spans="1:7" ht="115.5" thickBot="1" x14ac:dyDescent="0.3">
      <c r="A137" s="215">
        <v>26</v>
      </c>
      <c r="B137" s="170" t="s">
        <v>1398</v>
      </c>
      <c r="C137" s="174" t="s">
        <v>427</v>
      </c>
      <c r="D137" s="147">
        <v>0.35</v>
      </c>
      <c r="E137" s="147">
        <v>0.35</v>
      </c>
      <c r="F137" s="110">
        <v>0.2</v>
      </c>
      <c r="G137" s="6" t="s">
        <v>1043</v>
      </c>
    </row>
    <row r="138" spans="1:7" ht="115.5" outlineLevel="1" thickBot="1" x14ac:dyDescent="0.3">
      <c r="A138" s="215">
        <v>27</v>
      </c>
      <c r="B138" s="170" t="s">
        <v>1399</v>
      </c>
      <c r="C138" s="174" t="s">
        <v>685</v>
      </c>
      <c r="D138" s="147">
        <v>0.35</v>
      </c>
      <c r="E138" s="147">
        <v>0.35</v>
      </c>
      <c r="F138" s="110">
        <v>0.2</v>
      </c>
      <c r="G138" s="6" t="s">
        <v>1044</v>
      </c>
    </row>
    <row r="139" spans="1:7" ht="115.5" outlineLevel="1" thickBot="1" x14ac:dyDescent="0.3">
      <c r="A139" s="215">
        <v>28</v>
      </c>
      <c r="B139" s="170" t="s">
        <v>1400</v>
      </c>
      <c r="C139" s="174" t="s">
        <v>686</v>
      </c>
      <c r="D139" s="147">
        <v>0.35</v>
      </c>
      <c r="E139" s="147">
        <v>0.35</v>
      </c>
      <c r="F139" s="110">
        <v>0.2</v>
      </c>
      <c r="G139" s="6" t="s">
        <v>1045</v>
      </c>
    </row>
    <row r="140" spans="1:7" ht="26.25" outlineLevel="1" thickBot="1" x14ac:dyDescent="0.3">
      <c r="A140" s="215">
        <v>29</v>
      </c>
      <c r="B140" s="149" t="s">
        <v>1401</v>
      </c>
      <c r="C140" s="174" t="s">
        <v>430</v>
      </c>
      <c r="D140" s="110">
        <v>0.15</v>
      </c>
      <c r="E140" s="110">
        <v>0.15</v>
      </c>
      <c r="F140" s="110">
        <v>0.2</v>
      </c>
      <c r="G140" s="6" t="s">
        <v>1047</v>
      </c>
    </row>
    <row r="141" spans="1:7" ht="26.25" outlineLevel="1" thickBot="1" x14ac:dyDescent="0.3">
      <c r="A141" s="215">
        <v>30</v>
      </c>
      <c r="B141" s="150" t="s">
        <v>1402</v>
      </c>
      <c r="C141" s="176" t="s">
        <v>435</v>
      </c>
      <c r="D141" s="111">
        <v>0.25</v>
      </c>
      <c r="E141" s="111">
        <v>0.25</v>
      </c>
      <c r="F141" s="111">
        <v>0.2</v>
      </c>
      <c r="G141" s="14" t="s">
        <v>1047</v>
      </c>
    </row>
    <row r="142" spans="1:7" ht="165" customHeight="1" outlineLevel="1" x14ac:dyDescent="0.25"/>
    <row r="143" spans="1:7" ht="165" customHeight="1" outlineLevel="1" x14ac:dyDescent="0.25"/>
    <row r="144" spans="1:7" ht="165" customHeight="1" outlineLevel="1" x14ac:dyDescent="0.25"/>
    <row r="145" ht="165" customHeight="1" outlineLevel="1" x14ac:dyDescent="0.25"/>
    <row r="146" ht="165" customHeight="1" outlineLevel="1" x14ac:dyDescent="0.25"/>
    <row r="147" outlineLevel="1" x14ac:dyDescent="0.25"/>
    <row r="148" outlineLevel="1" x14ac:dyDescent="0.25"/>
    <row r="150" ht="30.75" customHeight="1" x14ac:dyDescent="0.25"/>
    <row r="151" ht="30.75" customHeight="1" x14ac:dyDescent="0.25"/>
    <row r="152" ht="30.75" customHeight="1" x14ac:dyDescent="0.25"/>
    <row r="157" ht="30" customHeight="1" x14ac:dyDescent="0.25"/>
    <row r="158" ht="30" customHeight="1" x14ac:dyDescent="0.25"/>
    <row r="159" ht="30" customHeight="1" x14ac:dyDescent="0.25"/>
    <row r="164" ht="30" customHeight="1" x14ac:dyDescent="0.25"/>
    <row r="165" ht="30" customHeight="1" x14ac:dyDescent="0.25"/>
    <row r="166" ht="30" customHeight="1" x14ac:dyDescent="0.25"/>
    <row r="171" ht="30" customHeight="1" x14ac:dyDescent="0.25"/>
    <row r="172" ht="30" customHeight="1" x14ac:dyDescent="0.25"/>
    <row r="173" ht="30" customHeight="1" x14ac:dyDescent="0.25"/>
    <row r="178" ht="30.75" customHeight="1" x14ac:dyDescent="0.25"/>
    <row r="179" ht="30.75" customHeight="1" x14ac:dyDescent="0.25"/>
    <row r="180" ht="30.75" customHeight="1" x14ac:dyDescent="0.25"/>
    <row r="185" ht="30.75" customHeight="1" x14ac:dyDescent="0.25"/>
    <row r="186" ht="30.75" customHeight="1" x14ac:dyDescent="0.25"/>
    <row r="187" ht="30.75" customHeight="1" x14ac:dyDescent="0.25"/>
    <row r="192" ht="30" customHeight="1" x14ac:dyDescent="0.25"/>
    <row r="193" ht="30" customHeight="1" x14ac:dyDescent="0.25"/>
    <row r="194" ht="30" customHeight="1" x14ac:dyDescent="0.25"/>
    <row r="199" ht="30" customHeight="1" x14ac:dyDescent="0.25"/>
    <row r="200" ht="30" customHeight="1" x14ac:dyDescent="0.25"/>
    <row r="201" ht="30" customHeight="1" x14ac:dyDescent="0.25"/>
    <row r="206" ht="30" customHeight="1" x14ac:dyDescent="0.25"/>
    <row r="207" ht="30" customHeight="1" x14ac:dyDescent="0.25"/>
    <row r="208" ht="30" customHeight="1" x14ac:dyDescent="0.25"/>
    <row r="213" ht="30" customHeight="1" x14ac:dyDescent="0.25"/>
    <row r="214" ht="30" customHeight="1" x14ac:dyDescent="0.25"/>
    <row r="215" ht="30" customHeight="1" x14ac:dyDescent="0.25"/>
    <row r="220" ht="30.75" customHeight="1" x14ac:dyDescent="0.25"/>
    <row r="221" ht="30.75" customHeight="1" x14ac:dyDescent="0.25"/>
    <row r="222" ht="30.75" customHeight="1" x14ac:dyDescent="0.25"/>
    <row r="227" ht="28.5" customHeight="1" x14ac:dyDescent="0.25"/>
    <row r="228" ht="28.5" customHeight="1" x14ac:dyDescent="0.25"/>
    <row r="229" ht="28.5" customHeight="1" x14ac:dyDescent="0.25"/>
    <row r="234" ht="30" customHeight="1" x14ac:dyDescent="0.25"/>
    <row r="235" ht="30" customHeight="1" x14ac:dyDescent="0.25"/>
    <row r="236" ht="30" customHeight="1" x14ac:dyDescent="0.25"/>
    <row r="241" ht="30" customHeight="1" x14ac:dyDescent="0.25"/>
    <row r="242" ht="30" customHeight="1" x14ac:dyDescent="0.25"/>
    <row r="243" ht="30" customHeight="1" x14ac:dyDescent="0.25"/>
    <row r="248" ht="30" customHeight="1" x14ac:dyDescent="0.25"/>
    <row r="249" ht="30" customHeight="1" x14ac:dyDescent="0.25"/>
    <row r="250" ht="30" customHeight="1" x14ac:dyDescent="0.25"/>
    <row r="255" ht="30.75" customHeight="1" x14ac:dyDescent="0.25"/>
    <row r="256" ht="30.75" customHeight="1" x14ac:dyDescent="0.25"/>
    <row r="257" ht="30.75" customHeight="1" x14ac:dyDescent="0.25"/>
    <row r="262" ht="31.5" customHeight="1" x14ac:dyDescent="0.25"/>
    <row r="263" ht="31.5" customHeight="1" x14ac:dyDescent="0.25"/>
    <row r="264" ht="31.5" customHeight="1" x14ac:dyDescent="0.25"/>
    <row r="269" ht="30.75" customHeight="1" x14ac:dyDescent="0.25"/>
    <row r="270" ht="30.75" customHeight="1" x14ac:dyDescent="0.25"/>
    <row r="271" ht="30.75" customHeight="1" x14ac:dyDescent="0.25"/>
    <row r="276" ht="30.75" customHeight="1" x14ac:dyDescent="0.25"/>
    <row r="277" ht="30.75" customHeight="1" x14ac:dyDescent="0.25"/>
    <row r="278" ht="30.75" customHeight="1" x14ac:dyDescent="0.25"/>
    <row r="283" ht="32.25" customHeight="1" x14ac:dyDescent="0.25"/>
    <row r="284" ht="32.25" customHeight="1" x14ac:dyDescent="0.25"/>
    <row r="285" ht="32.25" customHeight="1" x14ac:dyDescent="0.25"/>
    <row r="290" ht="30" customHeight="1" x14ac:dyDescent="0.25"/>
    <row r="291" ht="30" customHeight="1" x14ac:dyDescent="0.25"/>
    <row r="292" ht="30" customHeight="1" x14ac:dyDescent="0.25"/>
    <row r="297" ht="30.75" customHeight="1" x14ac:dyDescent="0.25"/>
    <row r="298" ht="30.75" customHeight="1" x14ac:dyDescent="0.25"/>
    <row r="299" ht="30.75" customHeight="1" x14ac:dyDescent="0.25"/>
    <row r="304" ht="31.5" customHeight="1" x14ac:dyDescent="0.25"/>
    <row r="305" ht="31.5" customHeight="1" x14ac:dyDescent="0.25"/>
    <row r="306" ht="31.5" customHeight="1" x14ac:dyDescent="0.25"/>
    <row r="311" ht="30.75" customHeight="1" x14ac:dyDescent="0.25"/>
    <row r="312" ht="30.75" customHeight="1" x14ac:dyDescent="0.25"/>
    <row r="313" ht="30.75" customHeight="1" x14ac:dyDescent="0.25"/>
    <row r="318" ht="30.75" customHeight="1" x14ac:dyDescent="0.25"/>
    <row r="319" ht="30.75" customHeight="1" x14ac:dyDescent="0.25"/>
    <row r="320" ht="30.75" customHeight="1" x14ac:dyDescent="0.25"/>
    <row r="325" ht="30" customHeight="1" x14ac:dyDescent="0.25"/>
    <row r="326" ht="30" customHeight="1" x14ac:dyDescent="0.25"/>
    <row r="327" ht="30" customHeight="1" x14ac:dyDescent="0.25"/>
    <row r="332" ht="30.75" customHeight="1" x14ac:dyDescent="0.25"/>
    <row r="333" ht="30.75" customHeight="1" x14ac:dyDescent="0.25"/>
    <row r="334" ht="30.75" customHeight="1" x14ac:dyDescent="0.25"/>
    <row r="339" ht="31.5" customHeight="1" x14ac:dyDescent="0.25"/>
    <row r="340" ht="31.5" customHeight="1" x14ac:dyDescent="0.25"/>
    <row r="341" ht="31.5" customHeight="1" x14ac:dyDescent="0.25"/>
    <row r="346" ht="30" customHeight="1" x14ac:dyDescent="0.25"/>
    <row r="347" ht="30" customHeight="1" x14ac:dyDescent="0.25"/>
    <row r="348" ht="30" customHeight="1" x14ac:dyDescent="0.25"/>
    <row r="349" ht="15" customHeight="1" x14ac:dyDescent="0.25"/>
    <row r="350" ht="30" customHeight="1" x14ac:dyDescent="0.25"/>
    <row r="351" ht="30" customHeight="1" x14ac:dyDescent="0.25"/>
    <row r="352" ht="15" customHeight="1" x14ac:dyDescent="0.25"/>
    <row r="353" ht="30" customHeight="1" x14ac:dyDescent="0.25"/>
    <row r="354" ht="30" customHeight="1" x14ac:dyDescent="0.25"/>
    <row r="355" ht="30" customHeight="1" x14ac:dyDescent="0.25"/>
    <row r="360" ht="30" customHeight="1" x14ac:dyDescent="0.25"/>
    <row r="361" ht="30" customHeight="1" x14ac:dyDescent="0.25"/>
    <row r="362" ht="30" customHeight="1" x14ac:dyDescent="0.25"/>
    <row r="367" ht="30" customHeight="1" x14ac:dyDescent="0.25"/>
    <row r="368" ht="30" customHeight="1" x14ac:dyDescent="0.25"/>
    <row r="369" ht="30" customHeight="1" x14ac:dyDescent="0.25"/>
    <row r="374" ht="30.75" customHeight="1" x14ac:dyDescent="0.25"/>
    <row r="375" ht="30.75" customHeight="1" x14ac:dyDescent="0.25"/>
    <row r="376" ht="30.75" customHeight="1" x14ac:dyDescent="0.25"/>
    <row r="381" ht="30" customHeight="1" x14ac:dyDescent="0.25"/>
    <row r="382" ht="30" customHeight="1" x14ac:dyDescent="0.25"/>
    <row r="383" ht="30" customHeight="1" x14ac:dyDescent="0.25"/>
    <row r="384" ht="15" customHeight="1" x14ac:dyDescent="0.25"/>
    <row r="388" ht="30" customHeight="1" x14ac:dyDescent="0.25"/>
    <row r="395" ht="25.5" customHeight="1" x14ac:dyDescent="0.25"/>
    <row r="396" ht="23.25" customHeight="1" x14ac:dyDescent="0.25"/>
    <row r="397" ht="27" customHeight="1" x14ac:dyDescent="0.25"/>
    <row r="398" ht="27" customHeight="1" x14ac:dyDescent="0.25"/>
    <row r="399" ht="27" customHeight="1" x14ac:dyDescent="0.25"/>
    <row r="400" ht="27" customHeight="1" x14ac:dyDescent="0.25"/>
    <row r="401" ht="27" customHeight="1" x14ac:dyDescent="0.25"/>
    <row r="402" ht="27" customHeight="1" x14ac:dyDescent="0.25"/>
    <row r="403" ht="27" customHeight="1" x14ac:dyDescent="0.25"/>
    <row r="404" ht="27" customHeight="1" x14ac:dyDescent="0.25"/>
  </sheetData>
  <mergeCells count="20">
    <mergeCell ref="A56:A58"/>
    <mergeCell ref="A21:A23"/>
    <mergeCell ref="A28:A30"/>
    <mergeCell ref="A35:A37"/>
    <mergeCell ref="A42:A44"/>
    <mergeCell ref="A49:A51"/>
    <mergeCell ref="G1:G7"/>
    <mergeCell ref="A14:A16"/>
    <mergeCell ref="A1:F6"/>
    <mergeCell ref="A7:F7"/>
    <mergeCell ref="B9:G9"/>
    <mergeCell ref="A119:A121"/>
    <mergeCell ref="A112:A114"/>
    <mergeCell ref="A105:A107"/>
    <mergeCell ref="A63:A65"/>
    <mergeCell ref="A98:A100"/>
    <mergeCell ref="A91:A93"/>
    <mergeCell ref="A70:A72"/>
    <mergeCell ref="A77:A79"/>
    <mergeCell ref="A84:A86"/>
  </mergeCells>
  <dataValidations count="1">
    <dataValidation type="list" allowBlank="1" showInputMessage="1" showErrorMessage="1" sqref="B11">
      <formula1>$B$11:$B$13</formula1>
    </dataValidation>
  </dataValidation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>
    <oddHeader>&amp;F</oddHeader>
    <oddFooter>&amp;CDiamond VPN/FW - UTM;Страница 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K409"/>
  <sheetViews>
    <sheetView showGridLines="0" showRowColHeaders="0" zoomScale="85" zoomScaleNormal="85" workbookViewId="0">
      <pane xSplit="7" ySplit="8" topLeftCell="H132" activePane="bottomRight" state="frozen"/>
      <selection pane="topRight" activeCell="H1" sqref="H1"/>
      <selection pane="bottomLeft" activeCell="A9" sqref="A9"/>
      <selection pane="bottomRight" activeCell="D139" sqref="D139"/>
    </sheetView>
  </sheetViews>
  <sheetFormatPr defaultRowHeight="15" outlineLevelRow="1" x14ac:dyDescent="0.25"/>
  <cols>
    <col min="1" max="1" width="5" customWidth="1"/>
    <col min="2" max="2" width="100.7109375" customWidth="1"/>
    <col min="3" max="3" width="12.140625" customWidth="1"/>
    <col min="4" max="5" width="15.7109375" customWidth="1"/>
    <col min="6" max="6" width="11.42578125" customWidth="1"/>
    <col min="7" max="7" width="79.7109375" customWidth="1"/>
    <col min="8" max="8" width="16.140625" customWidth="1"/>
    <col min="9" max="9" width="14" customWidth="1"/>
    <col min="10" max="10" width="57.5703125" customWidth="1"/>
  </cols>
  <sheetData>
    <row r="1" spans="1:11" ht="15.75" customHeight="1" x14ac:dyDescent="0.25">
      <c r="A1" s="459" t="s">
        <v>938</v>
      </c>
      <c r="B1" s="459"/>
      <c r="C1" s="459"/>
      <c r="D1" s="459"/>
      <c r="E1" s="459"/>
      <c r="F1" s="460"/>
      <c r="G1" s="449" t="s">
        <v>40</v>
      </c>
      <c r="H1" s="189" t="s">
        <v>1026</v>
      </c>
      <c r="K1" s="356" t="s">
        <v>1024</v>
      </c>
    </row>
    <row r="2" spans="1:11" x14ac:dyDescent="0.25">
      <c r="A2" s="459"/>
      <c r="B2" s="459"/>
      <c r="C2" s="459"/>
      <c r="D2" s="459"/>
      <c r="E2" s="459"/>
      <c r="F2" s="460"/>
      <c r="G2" s="449"/>
      <c r="H2" s="189" t="s">
        <v>939</v>
      </c>
      <c r="K2" s="356" t="s">
        <v>939</v>
      </c>
    </row>
    <row r="3" spans="1:11" x14ac:dyDescent="0.25">
      <c r="A3" s="459"/>
      <c r="B3" s="459"/>
      <c r="C3" s="459"/>
      <c r="D3" s="459"/>
      <c r="E3" s="459"/>
      <c r="F3" s="460"/>
      <c r="G3" s="449"/>
      <c r="H3" s="191" t="s">
        <v>1027</v>
      </c>
      <c r="K3" s="356" t="s">
        <v>1021</v>
      </c>
    </row>
    <row r="4" spans="1:11" x14ac:dyDescent="0.25">
      <c r="A4" s="459"/>
      <c r="B4" s="459"/>
      <c r="C4" s="459"/>
      <c r="D4" s="459"/>
      <c r="E4" s="459"/>
      <c r="F4" s="460"/>
      <c r="G4" s="449"/>
      <c r="H4" s="189" t="s">
        <v>1028</v>
      </c>
      <c r="K4" s="356" t="s">
        <v>1022</v>
      </c>
    </row>
    <row r="5" spans="1:11" x14ac:dyDescent="0.25">
      <c r="A5" s="459"/>
      <c r="B5" s="459"/>
      <c r="C5" s="459"/>
      <c r="D5" s="459"/>
      <c r="E5" s="459"/>
      <c r="F5" s="460"/>
      <c r="G5" s="449"/>
      <c r="H5" s="189" t="s">
        <v>1158</v>
      </c>
      <c r="K5" s="356" t="s">
        <v>1158</v>
      </c>
    </row>
    <row r="6" spans="1:11" ht="22.5" customHeight="1" x14ac:dyDescent="0.25">
      <c r="A6" s="459"/>
      <c r="B6" s="459"/>
      <c r="C6" s="459"/>
      <c r="D6" s="459"/>
      <c r="E6" s="459"/>
      <c r="F6" s="460"/>
      <c r="G6" s="449"/>
      <c r="H6" s="189" t="s">
        <v>1159</v>
      </c>
      <c r="K6" s="356" t="s">
        <v>1159</v>
      </c>
    </row>
    <row r="7" spans="1:11" ht="15" customHeight="1" thickBot="1" x14ac:dyDescent="0.3">
      <c r="A7" s="453" t="str">
        <f>'Diamond ACS'!A7:G7</f>
        <v>Срок действия: с 01.01.21</v>
      </c>
      <c r="B7" s="453"/>
      <c r="C7" s="453"/>
      <c r="D7" s="453"/>
      <c r="E7" s="453"/>
      <c r="F7" s="454"/>
      <c r="G7" s="450"/>
      <c r="H7" s="189" t="s">
        <v>1160</v>
      </c>
    </row>
    <row r="8" spans="1:11" ht="26.25" thickBot="1" x14ac:dyDescent="0.3">
      <c r="A8" s="74" t="s">
        <v>13</v>
      </c>
      <c r="B8" s="27" t="s">
        <v>0</v>
      </c>
      <c r="C8" s="28" t="s">
        <v>1</v>
      </c>
      <c r="D8" s="28" t="s">
        <v>928</v>
      </c>
      <c r="E8" s="28" t="s">
        <v>767</v>
      </c>
      <c r="F8" s="28" t="s">
        <v>3</v>
      </c>
      <c r="G8" s="30" t="s">
        <v>828</v>
      </c>
      <c r="H8" s="189" t="s">
        <v>1161</v>
      </c>
    </row>
    <row r="9" spans="1:11" ht="43.5" customHeight="1" thickBot="1" x14ac:dyDescent="0.3">
      <c r="A9" s="76"/>
      <c r="B9" s="455" t="s">
        <v>1501</v>
      </c>
      <c r="C9" s="444"/>
      <c r="D9" s="444"/>
      <c r="E9" s="444"/>
      <c r="F9" s="444"/>
      <c r="G9" s="445"/>
      <c r="H9" s="189" t="s">
        <v>1162</v>
      </c>
    </row>
    <row r="10" spans="1:11" ht="51" x14ac:dyDescent="0.25">
      <c r="A10" s="384">
        <v>1</v>
      </c>
      <c r="B10" s="58" t="s">
        <v>1171</v>
      </c>
      <c r="C10" s="43" t="s">
        <v>186</v>
      </c>
      <c r="D10" s="124">
        <f>ROUNDUP(8960*1.04,0)-4000</f>
        <v>5319</v>
      </c>
      <c r="E10" s="125">
        <f>ROUNDUP(D10*0.85,0)</f>
        <v>4522</v>
      </c>
      <c r="F10" s="51" t="s">
        <v>4</v>
      </c>
      <c r="G10" s="59" t="s">
        <v>1267</v>
      </c>
      <c r="H10" s="189" t="s">
        <v>1163</v>
      </c>
    </row>
    <row r="11" spans="1:11" ht="25.5" outlineLevel="1" x14ac:dyDescent="0.25">
      <c r="A11" s="100" t="s">
        <v>45</v>
      </c>
      <c r="B11" s="31" t="str">
        <f>CONCATENATE(K1,K25)</f>
        <v>Сертификат активации сервиса прямой технической поддержки уровня "Стандартный" на 1 год для: «Клиент многофункционального комплекса сетевой защиты «Diamond VPN/FW». Версия VPN»</v>
      </c>
      <c r="C11" s="5" t="s">
        <v>290</v>
      </c>
      <c r="D11" s="120">
        <f>ROUNDUP(D10*0.2,0)</f>
        <v>1064</v>
      </c>
      <c r="E11" s="120">
        <f>ROUNDUP(E10*0.2,0)</f>
        <v>905</v>
      </c>
      <c r="F11" s="107">
        <v>0.2</v>
      </c>
      <c r="G11" s="4"/>
      <c r="H11" s="189" t="s">
        <v>1164</v>
      </c>
    </row>
    <row r="12" spans="1:11" ht="25.5" outlineLevel="1" x14ac:dyDescent="0.25">
      <c r="A12" s="195" t="s">
        <v>46</v>
      </c>
      <c r="B12" s="22" t="str">
        <f>CONCATENATE(K3,K25)</f>
        <v>Сертификат активации сервиса прямой технической поддержки уровня "Стандартный" на 3 года для: «Клиент многофункционального комплекса сетевой защиты «Diamond VPN/FW». Версия VPN»</v>
      </c>
      <c r="C12" s="21" t="s">
        <v>556</v>
      </c>
      <c r="D12" s="118">
        <f>ROUNDUP(D11*0.97*3,0)</f>
        <v>3097</v>
      </c>
      <c r="E12" s="118">
        <f>ROUNDUP(E11*0.97*3,0)</f>
        <v>2634</v>
      </c>
      <c r="F12" s="107">
        <v>0.2</v>
      </c>
      <c r="G12" s="23"/>
      <c r="H12" s="189" t="s">
        <v>1165</v>
      </c>
    </row>
    <row r="13" spans="1:11" ht="26.25" outlineLevel="1" thickBot="1" x14ac:dyDescent="0.3">
      <c r="A13" s="89" t="s">
        <v>55</v>
      </c>
      <c r="B13" s="166" t="str">
        <f>CONCATENATE(K4,K25)</f>
        <v>Сертификат активации сервиса прямой технической поддержки уровня "Стандартный" на 5 лет для: «Клиент многофункционального комплекса сетевой защиты «Diamond VPN/FW». Версия VPN»</v>
      </c>
      <c r="C13" s="54" t="s">
        <v>557</v>
      </c>
      <c r="D13" s="123">
        <f>ROUNDUP(D11*0.95*5,0)</f>
        <v>5054</v>
      </c>
      <c r="E13" s="123">
        <f>ROUNDUP(E11*0.95*5,0)</f>
        <v>4299</v>
      </c>
      <c r="F13" s="60">
        <v>0.2</v>
      </c>
      <c r="G13" s="14"/>
      <c r="H13" s="189" t="s">
        <v>1166</v>
      </c>
    </row>
    <row r="14" spans="1:11" x14ac:dyDescent="0.25">
      <c r="A14" s="456" t="s">
        <v>56</v>
      </c>
      <c r="B14" s="58" t="s">
        <v>1315</v>
      </c>
      <c r="C14" s="49"/>
      <c r="D14" s="124"/>
      <c r="E14" s="125"/>
      <c r="F14" s="51"/>
      <c r="G14" s="59"/>
      <c r="H14" s="189" t="s">
        <v>1167</v>
      </c>
    </row>
    <row r="15" spans="1:11" outlineLevel="1" x14ac:dyDescent="0.25">
      <c r="A15" s="457"/>
      <c r="B15" s="42" t="s">
        <v>1316</v>
      </c>
      <c r="C15" s="43" t="s">
        <v>835</v>
      </c>
      <c r="D15" s="121">
        <v>25200</v>
      </c>
      <c r="E15" s="122">
        <f>ROUNDUP(D15*0.95,0)</f>
        <v>23940</v>
      </c>
      <c r="F15" s="45">
        <v>0.2</v>
      </c>
      <c r="G15" s="47" t="s">
        <v>1736</v>
      </c>
      <c r="H15" s="189" t="s">
        <v>1168</v>
      </c>
    </row>
    <row r="16" spans="1:11" ht="25.5" outlineLevel="1" x14ac:dyDescent="0.25">
      <c r="A16" s="457"/>
      <c r="B16" s="42" t="s">
        <v>1317</v>
      </c>
      <c r="C16" s="43" t="s">
        <v>1740</v>
      </c>
      <c r="D16" s="121" t="s">
        <v>926</v>
      </c>
      <c r="E16" s="122" t="s">
        <v>926</v>
      </c>
      <c r="F16" s="44" t="s">
        <v>4</v>
      </c>
      <c r="G16" s="47"/>
      <c r="H16" s="189"/>
    </row>
    <row r="17" spans="1:11" ht="51" outlineLevel="1" x14ac:dyDescent="0.25">
      <c r="A17" s="458"/>
      <c r="B17" s="42" t="s">
        <v>1175</v>
      </c>
      <c r="C17" s="43" t="s">
        <v>1741</v>
      </c>
      <c r="D17" s="121">
        <v>9500</v>
      </c>
      <c r="E17" s="122">
        <f>ROUNDUP(D17*0.85,0)</f>
        <v>8075</v>
      </c>
      <c r="F17" s="44" t="s">
        <v>4</v>
      </c>
      <c r="G17" s="46" t="s">
        <v>1737</v>
      </c>
      <c r="H17" s="189" t="s">
        <v>1169</v>
      </c>
    </row>
    <row r="18" spans="1:11" ht="102" outlineLevel="1" x14ac:dyDescent="0.25">
      <c r="A18" s="308" t="s">
        <v>96</v>
      </c>
      <c r="B18" s="22" t="s">
        <v>1227</v>
      </c>
      <c r="C18" s="256" t="s">
        <v>836</v>
      </c>
      <c r="D18" s="118">
        <f>ROUNDUP(D15+((D17)*1.2),0)</f>
        <v>36600</v>
      </c>
      <c r="E18" s="118">
        <f>ROUNDUP(E15+((E17)*1.2),0)</f>
        <v>33630</v>
      </c>
      <c r="F18" s="24">
        <v>0.2</v>
      </c>
      <c r="G18" s="91" t="s">
        <v>1738</v>
      </c>
      <c r="H18" s="189" t="s">
        <v>1170</v>
      </c>
    </row>
    <row r="19" spans="1:11" ht="25.5" outlineLevel="1" x14ac:dyDescent="0.25">
      <c r="A19" s="100" t="s">
        <v>97</v>
      </c>
      <c r="B19" s="31" t="str">
        <f>CONCATENATE(H1,H20)</f>
        <v>Сертификат активации сервиса прямой технической поддержки  уровня "Стандартный" на 1 год для: «Многофункциональный комплекс сетевой защиты «m-Trust-Diamond VPN/FW» - 0501. Версия VPN»</v>
      </c>
      <c r="C19" s="256" t="s">
        <v>1742</v>
      </c>
      <c r="D19" s="120">
        <f>ROUNDUP((D15+D17)*0.2,0)</f>
        <v>6940</v>
      </c>
      <c r="E19" s="120">
        <f>ROUNDUP((E15+E17)*0.2,0)</f>
        <v>6403</v>
      </c>
      <c r="F19" s="107">
        <v>0.2</v>
      </c>
      <c r="G19" s="23"/>
      <c r="H19" s="189" t="s">
        <v>1019</v>
      </c>
    </row>
    <row r="20" spans="1:11" ht="25.5" outlineLevel="1" x14ac:dyDescent="0.25">
      <c r="A20" s="308" t="s">
        <v>475</v>
      </c>
      <c r="B20" s="22" t="str">
        <f>CONCATENATE(H3,H20)</f>
        <v>Сертификат активации сервиса прямой технической поддержки  уровня "Стандартный" на 3 года для: «Многофункциональный комплекс сетевой защиты «m-Trust-Diamond VPN/FW» - 0501. Версия VPN»</v>
      </c>
      <c r="C20" s="256" t="s">
        <v>1743</v>
      </c>
      <c r="D20" s="118">
        <f>ROUNDUP(D19*0.97*3,0)</f>
        <v>20196</v>
      </c>
      <c r="E20" s="118">
        <f>ROUNDUP(E19*0.97*3,0)</f>
        <v>18633</v>
      </c>
      <c r="F20" s="107">
        <v>0.2</v>
      </c>
      <c r="G20" s="23"/>
      <c r="H20" s="189" t="s">
        <v>1173</v>
      </c>
    </row>
    <row r="21" spans="1:11" ht="26.25" outlineLevel="1" thickBot="1" x14ac:dyDescent="0.3">
      <c r="A21" s="89" t="s">
        <v>476</v>
      </c>
      <c r="B21" s="166" t="str">
        <f>CONCATENATE(H4,H20)</f>
        <v>Сертификат активации сервиса прямой технической поддержки  уровня "Стандартный" на 5 лет для: «Многофункциональный комплекс сетевой защиты «m-Trust-Diamond VPN/FW» - 0501. Версия VPN»</v>
      </c>
      <c r="C21" s="269" t="s">
        <v>1744</v>
      </c>
      <c r="D21" s="123">
        <f>ROUNDUP(D19*0.95*5,0)</f>
        <v>32965</v>
      </c>
      <c r="E21" s="123">
        <f>ROUNDUP(E19*0.95*5,0)</f>
        <v>30415</v>
      </c>
      <c r="F21" s="60">
        <v>0.2</v>
      </c>
      <c r="G21" s="348"/>
      <c r="H21" s="189" t="s">
        <v>1174</v>
      </c>
    </row>
    <row r="22" spans="1:11" ht="25.5" outlineLevel="1" x14ac:dyDescent="0.25">
      <c r="A22" s="456" t="s">
        <v>57</v>
      </c>
      <c r="B22" s="167" t="s">
        <v>1482</v>
      </c>
      <c r="C22" s="98"/>
      <c r="D22" s="126"/>
      <c r="E22" s="127"/>
      <c r="F22" s="99"/>
      <c r="G22" s="433"/>
      <c r="H22" s="189" t="s">
        <v>1479</v>
      </c>
    </row>
    <row r="23" spans="1:11" ht="25.5" outlineLevel="1" x14ac:dyDescent="0.25">
      <c r="A23" s="458"/>
      <c r="B23" s="42" t="s">
        <v>1228</v>
      </c>
      <c r="C23" s="49" t="s">
        <v>1605</v>
      </c>
      <c r="D23" s="124">
        <v>50000</v>
      </c>
      <c r="E23" s="125">
        <v>50000</v>
      </c>
      <c r="F23" s="45">
        <v>0.2</v>
      </c>
      <c r="G23" s="434"/>
      <c r="H23" s="189" t="s">
        <v>1480</v>
      </c>
    </row>
    <row r="24" spans="1:11" ht="38.25" outlineLevel="1" x14ac:dyDescent="0.25">
      <c r="A24" s="100" t="s">
        <v>58</v>
      </c>
      <c r="B24" s="22" t="str">
        <f>CONCATENATE(H1,H21)</f>
        <v>Сертификат активации сервиса прямой технической поддержки  уровня "Стандартный" на 1 год для: «Многофункциональный комплекс сетевой защиты «TOPAZ IEC DAS MX 240 E2R4-Diamond VPN/FW» - 0502. Версия VPN»</v>
      </c>
      <c r="C24" s="256" t="s">
        <v>1745</v>
      </c>
      <c r="D24" s="118">
        <f>ROUNDUP(D23*0.2,0)</f>
        <v>10000</v>
      </c>
      <c r="E24" s="118">
        <f>ROUNDUP(E23*0.2,0)</f>
        <v>10000</v>
      </c>
      <c r="F24" s="24">
        <v>0.2</v>
      </c>
      <c r="G24" s="91"/>
      <c r="H24" s="189" t="s">
        <v>1481</v>
      </c>
    </row>
    <row r="25" spans="1:11" ht="38.25" outlineLevel="1" x14ac:dyDescent="0.25">
      <c r="A25" s="350" t="s">
        <v>59</v>
      </c>
      <c r="B25" s="31" t="str">
        <f>CONCATENATE(H3,H21)</f>
        <v>Сертификат активации сервиса прямой технической поддержки  уровня "Стандартный" на 3 года для: «Многофункциональный комплекс сетевой защиты «TOPAZ IEC DAS MX 240 E2R4-Diamond VPN/FW» - 0502. Версия VPN»</v>
      </c>
      <c r="C25" s="269" t="s">
        <v>1746</v>
      </c>
      <c r="D25" s="120">
        <f>ROUNDUP(D24*0.97*3,0)</f>
        <v>29100</v>
      </c>
      <c r="E25" s="120">
        <f>ROUNDUP(E24*0.97*3,0)</f>
        <v>29100</v>
      </c>
      <c r="F25" s="107">
        <v>0.2</v>
      </c>
      <c r="G25" s="92"/>
      <c r="K25" s="356" t="s">
        <v>1739</v>
      </c>
    </row>
    <row r="26" spans="1:11" ht="39" outlineLevel="1" thickBot="1" x14ac:dyDescent="0.3">
      <c r="A26" s="89" t="s">
        <v>477</v>
      </c>
      <c r="B26" s="166" t="str">
        <f>CONCATENATE(H3,H21)</f>
        <v>Сертификат активации сервиса прямой технической поддержки  уровня "Стандартный" на 3 года для: «Многофункциональный комплекс сетевой защиты «TOPAZ IEC DAS MX 240 E2R4-Diamond VPN/FW» - 0502. Версия VPN»</v>
      </c>
      <c r="C26" s="268" t="s">
        <v>1747</v>
      </c>
      <c r="D26" s="123">
        <f>ROUNDUP(D24*0.95*5,0)</f>
        <v>47500</v>
      </c>
      <c r="E26" s="123">
        <f>ROUNDUP(E24*0.95*5,0)</f>
        <v>47500</v>
      </c>
      <c r="F26" s="60">
        <v>0.2</v>
      </c>
      <c r="G26" s="55"/>
    </row>
    <row r="27" spans="1:11" x14ac:dyDescent="0.25">
      <c r="A27" s="457" t="s">
        <v>60</v>
      </c>
      <c r="B27" s="58" t="s">
        <v>1483</v>
      </c>
      <c r="C27" s="49"/>
      <c r="D27" s="124"/>
      <c r="E27" s="125"/>
      <c r="F27" s="124"/>
      <c r="G27" s="59"/>
    </row>
    <row r="28" spans="1:11" outlineLevel="1" x14ac:dyDescent="0.25">
      <c r="A28" s="457"/>
      <c r="B28" s="42" t="s">
        <v>1188</v>
      </c>
      <c r="C28" s="43" t="s">
        <v>456</v>
      </c>
      <c r="D28" s="121">
        <f>'Diamond VPN FW - UTM'!D15</f>
        <v>35775</v>
      </c>
      <c r="E28" s="122">
        <f>ROUNDUP(D28*0.95,0)</f>
        <v>33987</v>
      </c>
      <c r="F28" s="45">
        <v>0.2</v>
      </c>
      <c r="G28" s="46" t="str">
        <f>'Diamond VPN FW - UTM'!G15</f>
        <v>3 x RJ45 GbE. 1 x USB 3.0, 1 x USB 2.0. Настольное исполнение</v>
      </c>
    </row>
    <row r="29" spans="1:11" ht="51" outlineLevel="1" x14ac:dyDescent="0.25">
      <c r="A29" s="458"/>
      <c r="B29" s="42" t="s">
        <v>1189</v>
      </c>
      <c r="C29" s="43" t="s">
        <v>187</v>
      </c>
      <c r="D29" s="121">
        <f>22240-1656</f>
        <v>20584</v>
      </c>
      <c r="E29" s="122">
        <f>ROUNDUP(D29*0.85,0)</f>
        <v>17497</v>
      </c>
      <c r="F29" s="44" t="s">
        <v>4</v>
      </c>
      <c r="G29" s="46" t="s">
        <v>1202</v>
      </c>
    </row>
    <row r="30" spans="1:11" ht="89.25" outlineLevel="1" x14ac:dyDescent="0.25">
      <c r="A30" s="351" t="s">
        <v>61</v>
      </c>
      <c r="B30" s="22" t="s">
        <v>1229</v>
      </c>
      <c r="C30" s="21" t="s">
        <v>188</v>
      </c>
      <c r="D30" s="118">
        <f>ROUNDUP(D28+((D29)*1.2),0)</f>
        <v>60476</v>
      </c>
      <c r="E30" s="118">
        <f>ROUNDUP(E28+((E29)*1.2),0)</f>
        <v>54984</v>
      </c>
      <c r="F30" s="24">
        <v>0.2</v>
      </c>
      <c r="G30" s="91" t="s">
        <v>1230</v>
      </c>
    </row>
    <row r="31" spans="1:11" ht="25.5" outlineLevel="1" x14ac:dyDescent="0.25">
      <c r="A31" s="100" t="s">
        <v>62</v>
      </c>
      <c r="B31" s="31" t="str">
        <f>CONCATENATE(H1,H5)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- 1101. Версия VPN»</v>
      </c>
      <c r="C31" s="5" t="s">
        <v>291</v>
      </c>
      <c r="D31" s="120">
        <f>ROUNDUP((D28+D29)*0.2,0)</f>
        <v>11272</v>
      </c>
      <c r="E31" s="120">
        <f>ROUNDUP((E28+E29)*0.2,0)</f>
        <v>10297</v>
      </c>
      <c r="F31" s="107">
        <v>0.2</v>
      </c>
      <c r="G31" s="92"/>
    </row>
    <row r="32" spans="1:11" ht="25.5" outlineLevel="1" x14ac:dyDescent="0.25">
      <c r="A32" s="351" t="s">
        <v>503</v>
      </c>
      <c r="B32" s="22" t="str">
        <f>CONCATENATE(H3,H5)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- 1101. Версия VPN»</v>
      </c>
      <c r="C32" s="21" t="s">
        <v>558</v>
      </c>
      <c r="D32" s="118">
        <f>ROUNDUP(D31*0.97*3,0)</f>
        <v>32802</v>
      </c>
      <c r="E32" s="118">
        <f>ROUNDUP(E31*0.97*3,0)</f>
        <v>29965</v>
      </c>
      <c r="F32" s="107">
        <v>0.2</v>
      </c>
      <c r="G32" s="91"/>
    </row>
    <row r="33" spans="1:7" ht="26.25" outlineLevel="1" thickBot="1" x14ac:dyDescent="0.3">
      <c r="A33" s="86" t="s">
        <v>504</v>
      </c>
      <c r="B33" s="166" t="str">
        <f>CONCATENATE(H4,H5)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- 1101. Версия VPN»</v>
      </c>
      <c r="C33" s="54" t="s">
        <v>559</v>
      </c>
      <c r="D33" s="123">
        <f>ROUNDUP(D31*0.95*5,0)</f>
        <v>53542</v>
      </c>
      <c r="E33" s="123">
        <f>ROUNDUP(E31*0.95*5,0)</f>
        <v>48911</v>
      </c>
      <c r="F33" s="60">
        <v>0.2</v>
      </c>
      <c r="G33" s="55"/>
    </row>
    <row r="34" spans="1:7" x14ac:dyDescent="0.25">
      <c r="A34" s="456" t="s">
        <v>63</v>
      </c>
      <c r="B34" s="58" t="s">
        <v>1176</v>
      </c>
      <c r="C34" s="49"/>
      <c r="D34" s="124"/>
      <c r="E34" s="125"/>
      <c r="F34" s="51"/>
      <c r="G34" s="53"/>
    </row>
    <row r="35" spans="1:7" ht="25.5" outlineLevel="1" x14ac:dyDescent="0.25">
      <c r="A35" s="457"/>
      <c r="B35" s="42" t="s">
        <v>1104</v>
      </c>
      <c r="C35" s="43" t="str">
        <f>'[1]Diamond VPN FW - UTM'!C15</f>
        <v>BF-2-025</v>
      </c>
      <c r="D35" s="121">
        <f>'Diamond VPN FW - UTM'!D22</f>
        <v>58913</v>
      </c>
      <c r="E35" s="122">
        <f>ROUNDUP(D35*0.95,0)</f>
        <v>55968</v>
      </c>
      <c r="F35" s="45">
        <v>0.2</v>
      </c>
      <c r="G35" s="47" t="str">
        <f>'Diamond VPN FW - UTM'!G22</f>
        <v>4 x RJ45 GbE. 2 x USB 2.0. Настольное исполнение. Уголки для крепления в стойку продаются отдельно.</v>
      </c>
    </row>
    <row r="36" spans="1:7" ht="51" outlineLevel="1" x14ac:dyDescent="0.25">
      <c r="A36" s="458"/>
      <c r="B36" s="42" t="s">
        <v>1190</v>
      </c>
      <c r="C36" s="43" t="s">
        <v>189</v>
      </c>
      <c r="D36" s="121">
        <f>ROUNDUP(('Diamond VPN FW - UTM'!D23+35600)*0.4,0)-16000</f>
        <v>57715</v>
      </c>
      <c r="E36" s="122">
        <f>ROUNDUP(D36*0.85,0)</f>
        <v>49058</v>
      </c>
      <c r="F36" s="44" t="s">
        <v>4</v>
      </c>
      <c r="G36" s="46" t="s">
        <v>1203</v>
      </c>
    </row>
    <row r="37" spans="1:7" ht="89.25" outlineLevel="1" x14ac:dyDescent="0.25">
      <c r="A37" s="351" t="s">
        <v>64</v>
      </c>
      <c r="B37" s="31" t="s">
        <v>1231</v>
      </c>
      <c r="C37" s="21" t="s">
        <v>190</v>
      </c>
      <c r="D37" s="120">
        <f>ROUNDUP(D35+((D36)*1.2),0)</f>
        <v>128171</v>
      </c>
      <c r="E37" s="120">
        <f>ROUNDUP(E35+((E36)*1.2),0)</f>
        <v>114838</v>
      </c>
      <c r="F37" s="24">
        <v>0.2</v>
      </c>
      <c r="G37" s="91" t="s">
        <v>1232</v>
      </c>
    </row>
    <row r="38" spans="1:7" ht="25.5" outlineLevel="1" x14ac:dyDescent="0.25">
      <c r="A38" s="100" t="s">
        <v>65</v>
      </c>
      <c r="B38" s="31" t="str">
        <f>CONCATENATE(H1,H6)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- 2111. Версия VPN»</v>
      </c>
      <c r="C38" s="5" t="s">
        <v>292</v>
      </c>
      <c r="D38" s="120">
        <f>ROUNDUP((D35+D36)*0.2,0)</f>
        <v>23326</v>
      </c>
      <c r="E38" s="120">
        <f>ROUNDUP((E35+E36)*0.2,0)</f>
        <v>21006</v>
      </c>
      <c r="F38" s="107">
        <v>0.2</v>
      </c>
      <c r="G38" s="4"/>
    </row>
    <row r="39" spans="1:7" ht="25.5" outlineLevel="1" x14ac:dyDescent="0.25">
      <c r="A39" s="100" t="s">
        <v>505</v>
      </c>
      <c r="B39" s="22" t="str">
        <f>CONCATENATE(H3,H6)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- 2111. Версия VPN»</v>
      </c>
      <c r="C39" s="21" t="s">
        <v>560</v>
      </c>
      <c r="D39" s="118">
        <f>ROUNDUP(D38*0.97*3,0)</f>
        <v>67879</v>
      </c>
      <c r="E39" s="118">
        <f>ROUNDUP(E38*0.97*3,0)</f>
        <v>61128</v>
      </c>
      <c r="F39" s="107">
        <v>0.2</v>
      </c>
      <c r="G39" s="23"/>
    </row>
    <row r="40" spans="1:7" ht="26.25" outlineLevel="1" thickBot="1" x14ac:dyDescent="0.3">
      <c r="A40" s="89" t="s">
        <v>506</v>
      </c>
      <c r="B40" s="166" t="str">
        <f>CONCATENATE(H4,H6)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- 2111. Версия VPN»</v>
      </c>
      <c r="C40" s="54" t="s">
        <v>561</v>
      </c>
      <c r="D40" s="123">
        <f>ROUNDUP(D38*0.95*5,0)</f>
        <v>110799</v>
      </c>
      <c r="E40" s="123">
        <f>ROUNDUP(E38*0.95*5,0)</f>
        <v>99779</v>
      </c>
      <c r="F40" s="60">
        <v>0.2</v>
      </c>
      <c r="G40" s="14"/>
    </row>
    <row r="41" spans="1:7" x14ac:dyDescent="0.25">
      <c r="A41" s="456" t="s">
        <v>66</v>
      </c>
      <c r="B41" s="58" t="s">
        <v>1177</v>
      </c>
      <c r="C41" s="49"/>
      <c r="D41" s="124"/>
      <c r="E41" s="125"/>
      <c r="F41" s="51"/>
      <c r="G41" s="53"/>
    </row>
    <row r="42" spans="1:7" ht="25.5" outlineLevel="1" x14ac:dyDescent="0.25">
      <c r="A42" s="457"/>
      <c r="B42" s="42" t="s">
        <v>1105</v>
      </c>
      <c r="C42" s="43" t="str">
        <f>'[1]Diamond VPN FW - UTM'!C22</f>
        <v>BF-2-028</v>
      </c>
      <c r="D42" s="121">
        <f>'Diamond VPN FW - UTM'!D29</f>
        <v>88875</v>
      </c>
      <c r="E42" s="122">
        <f>ROUNDUP(D42*0.95,0)</f>
        <v>84432</v>
      </c>
      <c r="F42" s="45">
        <v>0.2</v>
      </c>
      <c r="G42" s="47" t="str">
        <f>'Diamond VPN FW - UTM'!G29</f>
        <v>6 x RJ45 GbE. 2 x USB 2.0. Установка в стойку 1U. Только одиночный БП. Без мест для модулей расширения. Уголки для крепления в стойку входят в комплект.</v>
      </c>
    </row>
    <row r="43" spans="1:7" ht="51" outlineLevel="1" x14ac:dyDescent="0.25">
      <c r="A43" s="458"/>
      <c r="B43" s="42" t="s">
        <v>1191</v>
      </c>
      <c r="C43" s="43" t="s">
        <v>191</v>
      </c>
      <c r="D43" s="121">
        <f>ROUNDUP(60450-4115,0)</f>
        <v>56335</v>
      </c>
      <c r="E43" s="122">
        <f>ROUNDUP(D43*0.85,0)</f>
        <v>47885</v>
      </c>
      <c r="F43" s="44" t="s">
        <v>4</v>
      </c>
      <c r="G43" s="46" t="s">
        <v>1204</v>
      </c>
    </row>
    <row r="44" spans="1:7" ht="89.25" outlineLevel="1" x14ac:dyDescent="0.25">
      <c r="A44" s="351" t="s">
        <v>67</v>
      </c>
      <c r="B44" s="31" t="s">
        <v>1233</v>
      </c>
      <c r="C44" s="21" t="s">
        <v>192</v>
      </c>
      <c r="D44" s="120">
        <f>ROUNDUP(D42+((D43)*1.2),0)</f>
        <v>156477</v>
      </c>
      <c r="E44" s="120">
        <f>ROUNDUP(E42+((E43)*1.2),0)</f>
        <v>141894</v>
      </c>
      <c r="F44" s="24">
        <v>0.2</v>
      </c>
      <c r="G44" s="91" t="s">
        <v>1234</v>
      </c>
    </row>
    <row r="45" spans="1:7" ht="25.5" outlineLevel="1" x14ac:dyDescent="0.25">
      <c r="A45" s="100" t="s">
        <v>68</v>
      </c>
      <c r="B45" s="31" t="str">
        <f>CONCATENATE(H1,H7)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- 3101. Версия VPN»</v>
      </c>
      <c r="C45" s="5" t="s">
        <v>293</v>
      </c>
      <c r="D45" s="120">
        <f>ROUNDUP((D42+D43)*0.2,0)</f>
        <v>29042</v>
      </c>
      <c r="E45" s="120">
        <f>ROUNDUP((E42+E43)*0.2,0)</f>
        <v>26464</v>
      </c>
      <c r="F45" s="107">
        <v>0.2</v>
      </c>
      <c r="G45" s="4"/>
    </row>
    <row r="46" spans="1:7" ht="25.5" outlineLevel="1" x14ac:dyDescent="0.25">
      <c r="A46" s="100" t="s">
        <v>507</v>
      </c>
      <c r="B46" s="22" t="str">
        <f>CONCATENATE(H3,H7)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- 3101. Версия VPN»</v>
      </c>
      <c r="C46" s="21" t="s">
        <v>562</v>
      </c>
      <c r="D46" s="118">
        <f>ROUNDUP(D45*0.97*3,0)</f>
        <v>84513</v>
      </c>
      <c r="E46" s="118">
        <f>ROUNDUP(E45*0.97*3,0)</f>
        <v>77011</v>
      </c>
      <c r="F46" s="107">
        <v>0.2</v>
      </c>
      <c r="G46" s="23"/>
    </row>
    <row r="47" spans="1:7" ht="26.25" outlineLevel="1" thickBot="1" x14ac:dyDescent="0.3">
      <c r="A47" s="89" t="s">
        <v>508</v>
      </c>
      <c r="B47" s="166" t="str">
        <f>CONCATENATE(H4,H7)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- 3101. Версия VPN»</v>
      </c>
      <c r="C47" s="54" t="s">
        <v>563</v>
      </c>
      <c r="D47" s="123">
        <f>ROUNDUP(D45*0.95*5,0)</f>
        <v>137950</v>
      </c>
      <c r="E47" s="123">
        <f>ROUNDUP(E45*0.95*5,0)</f>
        <v>125704</v>
      </c>
      <c r="F47" s="60">
        <v>0.2</v>
      </c>
      <c r="G47" s="14"/>
    </row>
    <row r="48" spans="1:7" x14ac:dyDescent="0.25">
      <c r="A48" s="456" t="s">
        <v>69</v>
      </c>
      <c r="B48" s="58" t="s">
        <v>1178</v>
      </c>
      <c r="C48" s="49"/>
      <c r="D48" s="124"/>
      <c r="E48" s="125"/>
      <c r="F48" s="51"/>
      <c r="G48" s="53"/>
    </row>
    <row r="49" spans="1:7" ht="25.5" outlineLevel="1" x14ac:dyDescent="0.25">
      <c r="A49" s="457"/>
      <c r="B49" s="42" t="s">
        <v>1106</v>
      </c>
      <c r="C49" s="43" t="str">
        <f>'[1]Diamond VPN FW - UTM'!C29</f>
        <v>BF-2-031</v>
      </c>
      <c r="D49" s="121">
        <f>'Diamond VPN FW - UTM'!D36</f>
        <v>114750</v>
      </c>
      <c r="E49" s="122">
        <f>ROUNDUP(D49*0.95,0)</f>
        <v>109013</v>
      </c>
      <c r="F49" s="45">
        <v>0.2</v>
      </c>
      <c r="G49" s="47" t="str">
        <f>'Diamond VPN FW - UTM'!G36</f>
        <v>6 x RJ45 GbE. 2 x USB 2.0. Установка в стойку 1U. Только одиночный БП. 1 место для модулей расширения. Уголки для крепления в стойку входят в комплект.</v>
      </c>
    </row>
    <row r="50" spans="1:7" ht="51" outlineLevel="1" x14ac:dyDescent="0.25">
      <c r="A50" s="458"/>
      <c r="B50" s="42" t="s">
        <v>1192</v>
      </c>
      <c r="C50" s="43" t="s">
        <v>193</v>
      </c>
      <c r="D50" s="121">
        <f>ROUNDUP(88924-14301,0)</f>
        <v>74623</v>
      </c>
      <c r="E50" s="122">
        <f>ROUNDUP(D50*0.85,0)</f>
        <v>63430</v>
      </c>
      <c r="F50" s="44" t="s">
        <v>4</v>
      </c>
      <c r="G50" s="46" t="s">
        <v>1205</v>
      </c>
    </row>
    <row r="51" spans="1:7" ht="89.25" outlineLevel="1" x14ac:dyDescent="0.25">
      <c r="A51" s="351" t="s">
        <v>70</v>
      </c>
      <c r="B51" s="106" t="s">
        <v>1235</v>
      </c>
      <c r="C51" s="21" t="s">
        <v>194</v>
      </c>
      <c r="D51" s="120">
        <f>ROUNDUP(D49+((D50)*1.2),0)</f>
        <v>204298</v>
      </c>
      <c r="E51" s="120">
        <f>ROUNDUP(E49+((E50)*1.2),0)</f>
        <v>185129</v>
      </c>
      <c r="F51" s="24">
        <v>0.2</v>
      </c>
      <c r="G51" s="91" t="s">
        <v>1236</v>
      </c>
    </row>
    <row r="52" spans="1:7" ht="25.5" outlineLevel="1" x14ac:dyDescent="0.25">
      <c r="A52" s="100" t="s">
        <v>71</v>
      </c>
      <c r="B52" s="31" t="str">
        <f>CONCATENATE(H1,H8)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- 4101. Версия VPN»</v>
      </c>
      <c r="C52" s="5" t="s">
        <v>294</v>
      </c>
      <c r="D52" s="120">
        <f>ROUNDUP((D49+D50)*0.2,0)</f>
        <v>37875</v>
      </c>
      <c r="E52" s="120">
        <f>ROUNDUP((E49+E50)*0.2,0)</f>
        <v>34489</v>
      </c>
      <c r="F52" s="107">
        <v>0.2</v>
      </c>
      <c r="G52" s="4"/>
    </row>
    <row r="53" spans="1:7" ht="25.5" outlineLevel="1" x14ac:dyDescent="0.25">
      <c r="A53" s="100" t="s">
        <v>509</v>
      </c>
      <c r="B53" s="22" t="str">
        <f>CONCATENATE(H3,H8)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- 4101. Версия VPN»</v>
      </c>
      <c r="C53" s="21" t="s">
        <v>564</v>
      </c>
      <c r="D53" s="118">
        <f>ROUNDUP(D52*0.97*3,0)</f>
        <v>110217</v>
      </c>
      <c r="E53" s="118">
        <f>ROUNDUP(E52*0.97*3,0)</f>
        <v>100363</v>
      </c>
      <c r="F53" s="107">
        <v>0.2</v>
      </c>
      <c r="G53" s="23"/>
    </row>
    <row r="54" spans="1:7" ht="26.25" outlineLevel="1" thickBot="1" x14ac:dyDescent="0.3">
      <c r="A54" s="89" t="s">
        <v>510</v>
      </c>
      <c r="B54" s="166" t="str">
        <f>CONCATENATE(H4,H8)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- 4101. Версия VPN»</v>
      </c>
      <c r="C54" s="54" t="s">
        <v>565</v>
      </c>
      <c r="D54" s="123">
        <f>ROUNDUP(D52*0.95*5,0)</f>
        <v>179907</v>
      </c>
      <c r="E54" s="123">
        <f>ROUNDUP(E52*0.95*5,0)</f>
        <v>163823</v>
      </c>
      <c r="F54" s="60">
        <v>0.2</v>
      </c>
      <c r="G54" s="14"/>
    </row>
    <row r="55" spans="1:7" x14ac:dyDescent="0.25">
      <c r="A55" s="456" t="s">
        <v>72</v>
      </c>
      <c r="B55" s="58" t="s">
        <v>1179</v>
      </c>
      <c r="C55" s="49"/>
      <c r="D55" s="124"/>
      <c r="E55" s="125"/>
      <c r="F55" s="51"/>
      <c r="G55" s="53"/>
    </row>
    <row r="56" spans="1:7" ht="25.5" outlineLevel="1" x14ac:dyDescent="0.25">
      <c r="A56" s="457"/>
      <c r="B56" s="42" t="s">
        <v>1107</v>
      </c>
      <c r="C56" s="43" t="str">
        <f>'[1]Diamond VPN FW - UTM'!C36</f>
        <v>BF-2-035</v>
      </c>
      <c r="D56" s="121">
        <f>'Diamond VPN FW - UTM'!D43</f>
        <v>154125</v>
      </c>
      <c r="E56" s="122">
        <f>ROUNDUP(D56*0.95,0)</f>
        <v>146419</v>
      </c>
      <c r="F56" s="45">
        <v>0.2</v>
      </c>
      <c r="G56" s="47" t="str">
        <f>'Diamond VPN FW - UTM'!G43</f>
        <v>6 x RJ45 GbE. 2 x USB 2.0.Bypass. Установка в стойку 1U. Только одиночный БП. 1 место для модулей расширения.Уголки для крепления в стойку входят в комплект.</v>
      </c>
    </row>
    <row r="57" spans="1:7" ht="51" outlineLevel="1" x14ac:dyDescent="0.25">
      <c r="A57" s="458"/>
      <c r="B57" s="42" t="s">
        <v>1193</v>
      </c>
      <c r="C57" s="43" t="s">
        <v>195</v>
      </c>
      <c r="D57" s="121">
        <f>ROUNDUP(134950-8694,0)</f>
        <v>126256</v>
      </c>
      <c r="E57" s="122">
        <f>ROUNDUP(D57*0.85,0)</f>
        <v>107318</v>
      </c>
      <c r="F57" s="44" t="s">
        <v>4</v>
      </c>
      <c r="G57" s="46" t="s">
        <v>1206</v>
      </c>
    </row>
    <row r="58" spans="1:7" ht="89.25" outlineLevel="1" x14ac:dyDescent="0.25">
      <c r="A58" s="350" t="s">
        <v>73</v>
      </c>
      <c r="B58" s="168" t="s">
        <v>1237</v>
      </c>
      <c r="C58" s="21" t="s">
        <v>196</v>
      </c>
      <c r="D58" s="120">
        <f>ROUNDUP(D56+((D57)*1.2),0)</f>
        <v>305633</v>
      </c>
      <c r="E58" s="120">
        <f>ROUNDUP(E56+((E57)*1.2),0)</f>
        <v>275201</v>
      </c>
      <c r="F58" s="24">
        <v>0.2</v>
      </c>
      <c r="G58" s="91" t="s">
        <v>1238</v>
      </c>
    </row>
    <row r="59" spans="1:7" ht="25.5" outlineLevel="1" x14ac:dyDescent="0.25">
      <c r="A59" s="196" t="s">
        <v>74</v>
      </c>
      <c r="B59" s="31" t="str">
        <f>CONCATENATE(H1,H9)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- 4105. Версия VPN»</v>
      </c>
      <c r="C59" s="5" t="s">
        <v>295</v>
      </c>
      <c r="D59" s="120">
        <f>ROUNDUP((D56+D57)*0.2,0)</f>
        <v>56077</v>
      </c>
      <c r="E59" s="120">
        <f>ROUNDUP((E56+E57)*0.2,0)</f>
        <v>50748</v>
      </c>
      <c r="F59" s="107">
        <v>0.2</v>
      </c>
      <c r="G59" s="4"/>
    </row>
    <row r="60" spans="1:7" ht="25.5" outlineLevel="1" x14ac:dyDescent="0.25">
      <c r="A60" s="196" t="s">
        <v>511</v>
      </c>
      <c r="B60" s="22" t="str">
        <f>CONCATENATE(H3,H9)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- 4105. Версия VPN»</v>
      </c>
      <c r="C60" s="21" t="s">
        <v>566</v>
      </c>
      <c r="D60" s="118">
        <f>ROUNDUP(D59*0.97*3,0)</f>
        <v>163185</v>
      </c>
      <c r="E60" s="118">
        <f>ROUNDUP(E59*0.97*3,0)</f>
        <v>147677</v>
      </c>
      <c r="F60" s="107">
        <v>0.2</v>
      </c>
      <c r="G60" s="23"/>
    </row>
    <row r="61" spans="1:7" ht="26.25" outlineLevel="1" thickBot="1" x14ac:dyDescent="0.3">
      <c r="A61" s="101" t="s">
        <v>512</v>
      </c>
      <c r="B61" s="166" t="str">
        <f>CONCATENATE(H4,H9)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- 4105. Версия VPN»</v>
      </c>
      <c r="C61" s="54" t="s">
        <v>567</v>
      </c>
      <c r="D61" s="123">
        <f>ROUNDUP(D59*0.95*5,0)</f>
        <v>266366</v>
      </c>
      <c r="E61" s="123">
        <f>ROUNDUP(E59*0.95*5,0)</f>
        <v>241053</v>
      </c>
      <c r="F61" s="60">
        <v>0.2</v>
      </c>
      <c r="G61" s="14"/>
    </row>
    <row r="62" spans="1:7" x14ac:dyDescent="0.25">
      <c r="A62" s="456" t="s">
        <v>75</v>
      </c>
      <c r="B62" s="58" t="s">
        <v>1180</v>
      </c>
      <c r="C62" s="49"/>
      <c r="D62" s="124"/>
      <c r="E62" s="125"/>
      <c r="F62" s="51"/>
      <c r="G62" s="53"/>
    </row>
    <row r="63" spans="1:7" ht="25.5" outlineLevel="1" x14ac:dyDescent="0.25">
      <c r="A63" s="457"/>
      <c r="B63" s="42" t="s">
        <v>1108</v>
      </c>
      <c r="C63" s="43" t="str">
        <f>'[1]Diamond VPN FW - UTM'!C43</f>
        <v>BF-2-036</v>
      </c>
      <c r="D63" s="121">
        <f>'Diamond VPN FW - UTM'!D50</f>
        <v>276080</v>
      </c>
      <c r="E63" s="122">
        <f>ROUNDUP(D63*0.95,0)</f>
        <v>262276</v>
      </c>
      <c r="F63" s="45">
        <v>0.2</v>
      </c>
      <c r="G63" s="47" t="str">
        <f>'Diamond VPN FW - UTM'!G50</f>
        <v>8 x RJ45 GbE. Bypass. 2 x USB 3.0. Установка в стойку 1U. 2 блока питания. 2 места для модулей расширения</v>
      </c>
    </row>
    <row r="64" spans="1:7" ht="51" outlineLevel="1" x14ac:dyDescent="0.25">
      <c r="A64" s="458"/>
      <c r="B64" s="42" t="s">
        <v>1194</v>
      </c>
      <c r="C64" s="43" t="s">
        <v>197</v>
      </c>
      <c r="D64" s="121">
        <f>ROUNDUP(('Diamond VPN FW - UTM'!D51+35600)*0.4,0)-16000</f>
        <v>182362</v>
      </c>
      <c r="E64" s="122">
        <f>ROUNDUP(D64*0.85,0)</f>
        <v>155008</v>
      </c>
      <c r="F64" s="44" t="s">
        <v>4</v>
      </c>
      <c r="G64" s="46" t="s">
        <v>1207</v>
      </c>
    </row>
    <row r="65" spans="1:7" ht="89.25" outlineLevel="1" x14ac:dyDescent="0.25">
      <c r="A65" s="350" t="s">
        <v>76</v>
      </c>
      <c r="B65" s="106" t="s">
        <v>1239</v>
      </c>
      <c r="C65" s="21" t="s">
        <v>198</v>
      </c>
      <c r="D65" s="120">
        <f>ROUNDUP(D63+((D64)*1.2),0)</f>
        <v>494915</v>
      </c>
      <c r="E65" s="120">
        <f>ROUNDUP(E63+((E64)*1.2),0)</f>
        <v>448286</v>
      </c>
      <c r="F65" s="24">
        <v>0.2</v>
      </c>
      <c r="G65" s="91" t="s">
        <v>1240</v>
      </c>
    </row>
    <row r="66" spans="1:7" ht="25.5" outlineLevel="1" x14ac:dyDescent="0.25">
      <c r="A66" s="196" t="s">
        <v>77</v>
      </c>
      <c r="B66" s="31" t="str">
        <f>CONCATENATE(H1,H10)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- 5101. Версия VPN»</v>
      </c>
      <c r="C66" s="5" t="s">
        <v>296</v>
      </c>
      <c r="D66" s="120">
        <f>ROUNDUP((D63+D64)*0.2,0)</f>
        <v>91689</v>
      </c>
      <c r="E66" s="120">
        <f>ROUNDUP((E63+E64)*0.2,0)</f>
        <v>83457</v>
      </c>
      <c r="F66" s="107">
        <v>0.2</v>
      </c>
      <c r="G66" s="4"/>
    </row>
    <row r="67" spans="1:7" ht="25.5" outlineLevel="1" x14ac:dyDescent="0.25">
      <c r="A67" s="196" t="s">
        <v>513</v>
      </c>
      <c r="B67" s="22" t="str">
        <f>CONCATENATE(H3,H10)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- 5101. Версия VPN»</v>
      </c>
      <c r="C67" s="21" t="s">
        <v>568</v>
      </c>
      <c r="D67" s="118">
        <f>ROUNDUP(D66*0.97*3,0)</f>
        <v>266815</v>
      </c>
      <c r="E67" s="118">
        <f>ROUNDUP(E66*0.97*3,0)</f>
        <v>242860</v>
      </c>
      <c r="F67" s="107">
        <v>0.2</v>
      </c>
      <c r="G67" s="23"/>
    </row>
    <row r="68" spans="1:7" ht="26.25" outlineLevel="1" thickBot="1" x14ac:dyDescent="0.3">
      <c r="A68" s="101" t="s">
        <v>514</v>
      </c>
      <c r="B68" s="166" t="str">
        <f>CONCATENATE(H4,H10)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- 5101. Версия VPN»</v>
      </c>
      <c r="C68" s="54" t="s">
        <v>569</v>
      </c>
      <c r="D68" s="123">
        <f>ROUNDUP(D66*0.95*5,0)</f>
        <v>435523</v>
      </c>
      <c r="E68" s="123">
        <f>ROUNDUP(E66*0.95*5,0)</f>
        <v>396421</v>
      </c>
      <c r="F68" s="60">
        <v>0.2</v>
      </c>
      <c r="G68" s="14"/>
    </row>
    <row r="69" spans="1:7" x14ac:dyDescent="0.25">
      <c r="A69" s="456" t="s">
        <v>78</v>
      </c>
      <c r="B69" s="58" t="s">
        <v>1181</v>
      </c>
      <c r="C69" s="49"/>
      <c r="D69" s="124"/>
      <c r="E69" s="125"/>
      <c r="F69" s="51"/>
      <c r="G69" s="53"/>
    </row>
    <row r="70" spans="1:7" ht="25.5" outlineLevel="1" x14ac:dyDescent="0.25">
      <c r="A70" s="457"/>
      <c r="B70" s="42" t="s">
        <v>1109</v>
      </c>
      <c r="C70" s="43" t="str">
        <f>'[1]Diamond VPN FW - UTM'!C50</f>
        <v>BF-2-040</v>
      </c>
      <c r="D70" s="121">
        <f>'Diamond VPN FW - UTM'!D57</f>
        <v>273375</v>
      </c>
      <c r="E70" s="122">
        <f>ROUNDUP(D70*0.95,0)</f>
        <v>259707</v>
      </c>
      <c r="F70" s="45">
        <v>0.2</v>
      </c>
      <c r="G70" s="47" t="str">
        <f>'Diamond VPN FW - UTM'!G57</f>
        <v>8 x RJ45 GbE. Bypass. 2 x USB 3.0. Установка в стойку 1U. 2 блока питания. 2 места для модулей расширения</v>
      </c>
    </row>
    <row r="71" spans="1:7" ht="51" outlineLevel="1" x14ac:dyDescent="0.25">
      <c r="A71" s="458"/>
      <c r="B71" s="42" t="s">
        <v>1195</v>
      </c>
      <c r="C71" s="43" t="s">
        <v>199</v>
      </c>
      <c r="D71" s="121">
        <f>ROUNDUP(182362-24995,0)</f>
        <v>157367</v>
      </c>
      <c r="E71" s="122">
        <f>ROUNDUP(D71*0.85,0)</f>
        <v>133762</v>
      </c>
      <c r="F71" s="44" t="s">
        <v>4</v>
      </c>
      <c r="G71" s="46" t="s">
        <v>1208</v>
      </c>
    </row>
    <row r="72" spans="1:7" ht="89.25" outlineLevel="1" x14ac:dyDescent="0.25">
      <c r="A72" s="350" t="s">
        <v>79</v>
      </c>
      <c r="B72" s="106" t="s">
        <v>1241</v>
      </c>
      <c r="C72" s="21" t="s">
        <v>200</v>
      </c>
      <c r="D72" s="120">
        <f>ROUNDUP(D70+((D71)*1.2),0)</f>
        <v>462216</v>
      </c>
      <c r="E72" s="120">
        <f>ROUNDUP(E70+((E71)*1.2),0)</f>
        <v>420222</v>
      </c>
      <c r="F72" s="24">
        <v>0.2</v>
      </c>
      <c r="G72" s="91" t="s">
        <v>1242</v>
      </c>
    </row>
    <row r="73" spans="1:7" ht="25.5" outlineLevel="1" x14ac:dyDescent="0.25">
      <c r="A73" s="196" t="s">
        <v>80</v>
      </c>
      <c r="B73" s="31" t="str">
        <f>CONCATENATE(H1,H11)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- 5111. Версия VPN»</v>
      </c>
      <c r="C73" s="5" t="s">
        <v>297</v>
      </c>
      <c r="D73" s="120">
        <f>ROUNDUP((D70+D71)*0.2,0)</f>
        <v>86149</v>
      </c>
      <c r="E73" s="120">
        <f>ROUNDUP((E70+E71)*0.2,0)</f>
        <v>78694</v>
      </c>
      <c r="F73" s="107">
        <v>0.2</v>
      </c>
      <c r="G73" s="4"/>
    </row>
    <row r="74" spans="1:7" ht="25.5" outlineLevel="1" x14ac:dyDescent="0.25">
      <c r="A74" s="196" t="s">
        <v>515</v>
      </c>
      <c r="B74" s="22" t="str">
        <f>CONCATENATE(H3,H11)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- 5111. Версия VPN»</v>
      </c>
      <c r="C74" s="21" t="s">
        <v>570</v>
      </c>
      <c r="D74" s="118">
        <f>ROUNDUP(D73*0.97*3,0)</f>
        <v>250694</v>
      </c>
      <c r="E74" s="118">
        <f>ROUNDUP(E73*0.97*3,0)</f>
        <v>229000</v>
      </c>
      <c r="F74" s="107">
        <v>0.2</v>
      </c>
      <c r="G74" s="23"/>
    </row>
    <row r="75" spans="1:7" ht="26.25" outlineLevel="1" thickBot="1" x14ac:dyDescent="0.3">
      <c r="A75" s="101" t="s">
        <v>516</v>
      </c>
      <c r="B75" s="166" t="str">
        <f>CONCATENATE(H4,H11)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- 5111. Версия VPN»</v>
      </c>
      <c r="C75" s="54" t="s">
        <v>571</v>
      </c>
      <c r="D75" s="123">
        <f>ROUNDUP(D73*0.95*5,0)</f>
        <v>409208</v>
      </c>
      <c r="E75" s="123">
        <f>ROUNDUP(E73*0.95*5,0)</f>
        <v>373797</v>
      </c>
      <c r="F75" s="60">
        <v>0.2</v>
      </c>
      <c r="G75" s="14"/>
    </row>
    <row r="76" spans="1:7" x14ac:dyDescent="0.25">
      <c r="A76" s="456" t="s">
        <v>81</v>
      </c>
      <c r="B76" s="58" t="s">
        <v>1182</v>
      </c>
      <c r="C76" s="49"/>
      <c r="D76" s="126"/>
      <c r="E76" s="125"/>
      <c r="F76" s="51"/>
      <c r="G76" s="53"/>
    </row>
    <row r="77" spans="1:7" ht="25.5" outlineLevel="1" x14ac:dyDescent="0.25">
      <c r="A77" s="457"/>
      <c r="B77" s="42" t="s">
        <v>1110</v>
      </c>
      <c r="C77" s="43" t="str">
        <f>'[1]Diamond VPN FW - UTM'!C57</f>
        <v>BF-2-045</v>
      </c>
      <c r="D77" s="124">
        <f>'Diamond VPN FW - UTM'!D64</f>
        <v>289125</v>
      </c>
      <c r="E77" s="122">
        <f>ROUNDUP(D77*0.95,0)</f>
        <v>274669</v>
      </c>
      <c r="F77" s="45">
        <v>0.2</v>
      </c>
      <c r="G77" s="47" t="str">
        <f>'Diamond VPN FW - UTM'!G64</f>
        <v>8 x RJ45 GbE. Bypass. 2 x USB 3.0. Установка в стойку 1U. 2 блока питания. 2 места для модулей расширения</v>
      </c>
    </row>
    <row r="78" spans="1:7" ht="51" outlineLevel="1" x14ac:dyDescent="0.25">
      <c r="A78" s="458"/>
      <c r="B78" s="42" t="s">
        <v>1196</v>
      </c>
      <c r="C78" s="43" t="s">
        <v>201</v>
      </c>
      <c r="D78" s="121">
        <f>ROUNDUP(364534-25151,0)</f>
        <v>339383</v>
      </c>
      <c r="E78" s="122">
        <f>ROUNDUP(D78*0.85,0)</f>
        <v>288476</v>
      </c>
      <c r="F78" s="44" t="s">
        <v>4</v>
      </c>
      <c r="G78" s="46" t="s">
        <v>1209</v>
      </c>
    </row>
    <row r="79" spans="1:7" ht="89.25" outlineLevel="1" x14ac:dyDescent="0.25">
      <c r="A79" s="350" t="s">
        <v>82</v>
      </c>
      <c r="B79" s="106" t="s">
        <v>1243</v>
      </c>
      <c r="C79" s="21" t="s">
        <v>202</v>
      </c>
      <c r="D79" s="120">
        <f>ROUNDUP(D77+((D78)*1.2),0)</f>
        <v>696385</v>
      </c>
      <c r="E79" s="120">
        <f>ROUNDUP(E77+((E78)*1.2),0)</f>
        <v>620841</v>
      </c>
      <c r="F79" s="24">
        <v>0.2</v>
      </c>
      <c r="G79" s="91" t="s">
        <v>1244</v>
      </c>
    </row>
    <row r="80" spans="1:7" ht="25.5" outlineLevel="1" x14ac:dyDescent="0.25">
      <c r="A80" s="196" t="s">
        <v>83</v>
      </c>
      <c r="B80" s="31" t="str">
        <f>CONCATENATE(H1,H12)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- 5121. Версия VPN»</v>
      </c>
      <c r="C80" s="5" t="s">
        <v>298</v>
      </c>
      <c r="D80" s="120">
        <f>ROUNDUP((D77+D78)*0.2,0)</f>
        <v>125702</v>
      </c>
      <c r="E80" s="120">
        <f>ROUNDUP((E77+E78)*0.2,0)</f>
        <v>112629</v>
      </c>
      <c r="F80" s="107">
        <v>0.2</v>
      </c>
      <c r="G80" s="4"/>
    </row>
    <row r="81" spans="1:7" ht="25.5" outlineLevel="1" x14ac:dyDescent="0.25">
      <c r="A81" s="196" t="s">
        <v>517</v>
      </c>
      <c r="B81" s="22" t="str">
        <f>CONCATENATE(H3,H12)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- 5121. Версия VPN»</v>
      </c>
      <c r="C81" s="21" t="s">
        <v>572</v>
      </c>
      <c r="D81" s="118">
        <f>ROUNDUP(D80*0.97*3,0)</f>
        <v>365793</v>
      </c>
      <c r="E81" s="118">
        <f>ROUNDUP(E80*0.97*3,0)</f>
        <v>327751</v>
      </c>
      <c r="F81" s="107">
        <v>0.2</v>
      </c>
      <c r="G81" s="23"/>
    </row>
    <row r="82" spans="1:7" ht="26.25" outlineLevel="1" thickBot="1" x14ac:dyDescent="0.3">
      <c r="A82" s="101" t="s">
        <v>518</v>
      </c>
      <c r="B82" s="166" t="str">
        <f>CONCATENATE(H4,H12)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- 5121. Версия VPN»</v>
      </c>
      <c r="C82" s="5" t="s">
        <v>573</v>
      </c>
      <c r="D82" s="123">
        <f>ROUNDUP(D80*0.95*5,0)</f>
        <v>597085</v>
      </c>
      <c r="E82" s="123">
        <f>ROUNDUP(E80*0.95*5,0)</f>
        <v>534988</v>
      </c>
      <c r="F82" s="60">
        <v>0.2</v>
      </c>
      <c r="G82" s="14"/>
    </row>
    <row r="83" spans="1:7" outlineLevel="1" x14ac:dyDescent="0.25">
      <c r="A83" s="456" t="s">
        <v>84</v>
      </c>
      <c r="B83" s="58" t="s">
        <v>1365</v>
      </c>
      <c r="C83" s="98"/>
      <c r="D83" s="124"/>
      <c r="E83" s="125"/>
      <c r="F83" s="51"/>
      <c r="G83" s="53"/>
    </row>
    <row r="84" spans="1:7" ht="25.5" outlineLevel="1" x14ac:dyDescent="0.25">
      <c r="A84" s="457"/>
      <c r="B84" s="42" t="s">
        <v>1366</v>
      </c>
      <c r="C84" s="43" t="s">
        <v>1361</v>
      </c>
      <c r="D84" s="121">
        <f>'Diamond VPN FW - UTM'!D71</f>
        <v>369600</v>
      </c>
      <c r="E84" s="122">
        <f>ROUNDUP(D84*0.95,0)</f>
        <v>351120</v>
      </c>
      <c r="F84" s="45">
        <v>0.2</v>
      </c>
      <c r="G84" s="47" t="str">
        <f>'Diamond VPN FW - UTM'!G71</f>
        <v>12 x RJ45 GbE. Bypass. 2 x USB 3.0. Установка в стойку 1U. 2 блока питания. 2 места для модулей расширения</v>
      </c>
    </row>
    <row r="85" spans="1:7" ht="51" outlineLevel="1" x14ac:dyDescent="0.25">
      <c r="A85" s="458"/>
      <c r="B85" s="42" t="s">
        <v>1367</v>
      </c>
      <c r="C85" s="43" t="s">
        <v>1318</v>
      </c>
      <c r="D85" s="121">
        <f>ROUNDUP(('Diamond VPN FW - UTM'!D72+35600)*0.4,0)-16000</f>
        <v>182362</v>
      </c>
      <c r="E85" s="122">
        <f>ROUNDUP(D85*0.85,0)</f>
        <v>155008</v>
      </c>
      <c r="F85" s="44" t="s">
        <v>4</v>
      </c>
      <c r="G85" s="46" t="s">
        <v>1368</v>
      </c>
    </row>
    <row r="86" spans="1:7" ht="89.25" outlineLevel="1" x14ac:dyDescent="0.25">
      <c r="A86" s="350" t="s">
        <v>85</v>
      </c>
      <c r="B86" s="106" t="s">
        <v>1369</v>
      </c>
      <c r="C86" s="256" t="s">
        <v>1609</v>
      </c>
      <c r="D86" s="120">
        <f>ROUNDUP(D84+((D85)*1.2),0)</f>
        <v>588435</v>
      </c>
      <c r="E86" s="120">
        <f>ROUNDUP(E84+((E85)*1.2),0)</f>
        <v>537130</v>
      </c>
      <c r="F86" s="24">
        <v>0.2</v>
      </c>
      <c r="G86" s="91" t="s">
        <v>1370</v>
      </c>
    </row>
    <row r="87" spans="1:7" ht="25.5" outlineLevel="1" x14ac:dyDescent="0.25">
      <c r="A87" s="196" t="s">
        <v>86</v>
      </c>
      <c r="B87" s="31" t="str">
        <f>CONCATENATE(H1,H22)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- 5201. Версия VPN»</v>
      </c>
      <c r="C87" s="269" t="s">
        <v>1606</v>
      </c>
      <c r="D87" s="120">
        <f>ROUNDUP((D84+D85)*0.2,0)</f>
        <v>110393</v>
      </c>
      <c r="E87" s="120">
        <f>ROUNDUP((E84+E85)*0.2,0)</f>
        <v>101226</v>
      </c>
      <c r="F87" s="107">
        <v>0.2</v>
      </c>
      <c r="G87" s="4"/>
    </row>
    <row r="88" spans="1:7" ht="25.5" outlineLevel="1" x14ac:dyDescent="0.25">
      <c r="A88" s="196" t="s">
        <v>519</v>
      </c>
      <c r="B88" s="22" t="str">
        <f>CONCATENATE(H3,H22)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- 5201. Версия VPN»</v>
      </c>
      <c r="C88" s="256" t="s">
        <v>1607</v>
      </c>
      <c r="D88" s="118">
        <f>ROUNDUP(D87*0.97*3,0)</f>
        <v>321244</v>
      </c>
      <c r="E88" s="118">
        <f>ROUNDUP(E87*0.97*3,0)</f>
        <v>294568</v>
      </c>
      <c r="F88" s="107">
        <v>0.2</v>
      </c>
      <c r="G88" s="23"/>
    </row>
    <row r="89" spans="1:7" ht="26.25" outlineLevel="1" thickBot="1" x14ac:dyDescent="0.3">
      <c r="A89" s="101" t="s">
        <v>520</v>
      </c>
      <c r="B89" s="166" t="str">
        <f>CONCATENATE(H4,H22)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- 5201. Версия VPN»</v>
      </c>
      <c r="C89" s="268" t="s">
        <v>1608</v>
      </c>
      <c r="D89" s="123">
        <f>ROUNDUP(D87*0.95*5,0)</f>
        <v>524367</v>
      </c>
      <c r="E89" s="123">
        <f>ROUNDUP(E87*0.95*5,0)</f>
        <v>480824</v>
      </c>
      <c r="F89" s="60">
        <v>0.2</v>
      </c>
      <c r="G89" s="14"/>
    </row>
    <row r="90" spans="1:7" outlineLevel="1" x14ac:dyDescent="0.25">
      <c r="A90" s="456" t="s">
        <v>87</v>
      </c>
      <c r="B90" s="58" t="s">
        <v>1371</v>
      </c>
      <c r="C90" s="49"/>
      <c r="D90" s="124"/>
      <c r="E90" s="125"/>
      <c r="F90" s="51"/>
      <c r="G90" s="53"/>
    </row>
    <row r="91" spans="1:7" ht="25.5" outlineLevel="1" x14ac:dyDescent="0.25">
      <c r="A91" s="457"/>
      <c r="B91" s="42" t="s">
        <v>1350</v>
      </c>
      <c r="C91" s="43" t="s">
        <v>1362</v>
      </c>
      <c r="D91" s="121">
        <f>'Diamond VPN FW - UTM'!D78</f>
        <v>402192</v>
      </c>
      <c r="E91" s="122">
        <f>ROUNDUP(D91*0.95,0)</f>
        <v>382083</v>
      </c>
      <c r="F91" s="45">
        <v>0.2</v>
      </c>
      <c r="G91" s="47" t="str">
        <f>'Diamond VPN FW - UTM'!G78</f>
        <v>12 x RJ45 GbE. Bypass. 2 x USB 3.0. Установка в стойку 1U. 2 блока питания. 2 места для модулей расширения</v>
      </c>
    </row>
    <row r="92" spans="1:7" ht="51" outlineLevel="1" x14ac:dyDescent="0.25">
      <c r="A92" s="458"/>
      <c r="B92" s="42" t="s">
        <v>1372</v>
      </c>
      <c r="C92" s="43" t="s">
        <v>1610</v>
      </c>
      <c r="D92" s="121">
        <f>ROUNDUP(182362-24995,0)</f>
        <v>157367</v>
      </c>
      <c r="E92" s="122">
        <f>ROUNDUP(D92*0.85,0)</f>
        <v>133762</v>
      </c>
      <c r="F92" s="44" t="s">
        <v>4</v>
      </c>
      <c r="G92" s="46" t="s">
        <v>1373</v>
      </c>
    </row>
    <row r="93" spans="1:7" ht="89.25" outlineLevel="1" x14ac:dyDescent="0.25">
      <c r="A93" s="350" t="s">
        <v>88</v>
      </c>
      <c r="B93" s="106" t="s">
        <v>1374</v>
      </c>
      <c r="C93" s="256" t="s">
        <v>1618</v>
      </c>
      <c r="D93" s="120">
        <f>ROUNDUP(D91+((D92)*1.2),0)</f>
        <v>591033</v>
      </c>
      <c r="E93" s="120">
        <f>ROUNDUP(E91+((E92)*1.2),0)</f>
        <v>542598</v>
      </c>
      <c r="F93" s="24">
        <v>0.2</v>
      </c>
      <c r="G93" s="91" t="s">
        <v>1375</v>
      </c>
    </row>
    <row r="94" spans="1:7" ht="25.5" outlineLevel="1" x14ac:dyDescent="0.25">
      <c r="A94" s="196" t="s">
        <v>89</v>
      </c>
      <c r="B94" s="31" t="str">
        <f>CONCATENATE(H1,H23)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- 5211. Версия VPN»</v>
      </c>
      <c r="C94" s="269" t="s">
        <v>1611</v>
      </c>
      <c r="D94" s="120">
        <f>ROUNDUP((D91+D92)*0.2,0)</f>
        <v>111912</v>
      </c>
      <c r="E94" s="120">
        <f>ROUNDUP((E91+E92)*0.2,0)</f>
        <v>103169</v>
      </c>
      <c r="F94" s="107">
        <v>0.2</v>
      </c>
      <c r="G94" s="4"/>
    </row>
    <row r="95" spans="1:7" ht="25.5" outlineLevel="1" x14ac:dyDescent="0.25">
      <c r="A95" s="196" t="s">
        <v>521</v>
      </c>
      <c r="B95" s="22" t="str">
        <f>CONCATENATE(H3,H23)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- 5211. Версия VPN»</v>
      </c>
      <c r="C95" s="256" t="s">
        <v>1612</v>
      </c>
      <c r="D95" s="118">
        <f>ROUNDUP(D94*0.97*3,0)</f>
        <v>325664</v>
      </c>
      <c r="E95" s="118">
        <f>ROUNDUP(E94*0.97*3,0)</f>
        <v>300222</v>
      </c>
      <c r="F95" s="107">
        <v>0.2</v>
      </c>
      <c r="G95" s="23"/>
    </row>
    <row r="96" spans="1:7" ht="26.25" outlineLevel="1" thickBot="1" x14ac:dyDescent="0.3">
      <c r="A96" s="101" t="s">
        <v>522</v>
      </c>
      <c r="B96" s="166" t="str">
        <f>CONCATENATE(H4,H23)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- 5211. Версия VPN»</v>
      </c>
      <c r="C96" s="268" t="s">
        <v>1613</v>
      </c>
      <c r="D96" s="123">
        <f>ROUNDUP(D94*0.95*5,0)</f>
        <v>531582</v>
      </c>
      <c r="E96" s="123">
        <f>ROUNDUP(E94*0.95*5,0)</f>
        <v>490053</v>
      </c>
      <c r="F96" s="60">
        <v>0.2</v>
      </c>
      <c r="G96" s="14"/>
    </row>
    <row r="97" spans="1:7" outlineLevel="1" x14ac:dyDescent="0.25">
      <c r="A97" s="456" t="s">
        <v>90</v>
      </c>
      <c r="B97" s="58" t="s">
        <v>1376</v>
      </c>
      <c r="C97" s="49"/>
      <c r="D97" s="126"/>
      <c r="E97" s="125"/>
      <c r="F97" s="51"/>
      <c r="G97" s="53"/>
    </row>
    <row r="98" spans="1:7" ht="25.5" outlineLevel="1" x14ac:dyDescent="0.25">
      <c r="A98" s="457"/>
      <c r="B98" s="42" t="s">
        <v>1377</v>
      </c>
      <c r="C98" s="43" t="s">
        <v>1363</v>
      </c>
      <c r="D98" s="124">
        <f>'Diamond VPN FW - UTM'!D85</f>
        <v>421344</v>
      </c>
      <c r="E98" s="122">
        <f>ROUNDUP(D98*0.95,0)</f>
        <v>400277</v>
      </c>
      <c r="F98" s="45">
        <v>0.2</v>
      </c>
      <c r="G98" s="47" t="str">
        <f>'Diamond VPN FW - UTM'!G85</f>
        <v>12 x RJ45 GbE. Bypass. 2 x USB 3.0. Установка в стойку 1U. 2 блока питания. 2 места для модулей расширения</v>
      </c>
    </row>
    <row r="99" spans="1:7" ht="51" outlineLevel="1" x14ac:dyDescent="0.25">
      <c r="A99" s="458"/>
      <c r="B99" s="42" t="s">
        <v>1378</v>
      </c>
      <c r="C99" s="43" t="s">
        <v>1614</v>
      </c>
      <c r="D99" s="121">
        <f>ROUNDUP(364534-25151,0)</f>
        <v>339383</v>
      </c>
      <c r="E99" s="122">
        <f>ROUNDUP(D99*0.85,0)</f>
        <v>288476</v>
      </c>
      <c r="F99" s="44" t="s">
        <v>4</v>
      </c>
      <c r="G99" s="46" t="s">
        <v>1379</v>
      </c>
    </row>
    <row r="100" spans="1:7" ht="89.25" outlineLevel="1" x14ac:dyDescent="0.25">
      <c r="A100" s="350" t="s">
        <v>91</v>
      </c>
      <c r="B100" s="106" t="s">
        <v>1380</v>
      </c>
      <c r="C100" s="256" t="s">
        <v>1748</v>
      </c>
      <c r="D100" s="120">
        <f>ROUNDUP(D98+((D99)*1.2),0)</f>
        <v>828604</v>
      </c>
      <c r="E100" s="120">
        <f>ROUNDUP(E98+((E99)*1.2),0)</f>
        <v>746449</v>
      </c>
      <c r="F100" s="24">
        <v>0.2</v>
      </c>
      <c r="G100" s="91" t="s">
        <v>1381</v>
      </c>
    </row>
    <row r="101" spans="1:7" ht="25.5" outlineLevel="1" x14ac:dyDescent="0.25">
      <c r="A101" s="196" t="s">
        <v>92</v>
      </c>
      <c r="B101" s="31" t="str">
        <f>CONCATENATE(H1,H24)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- 5221. Версия VPN»</v>
      </c>
      <c r="C101" s="269" t="s">
        <v>1615</v>
      </c>
      <c r="D101" s="120">
        <f>ROUNDUP((D98+D99)*0.2,0)</f>
        <v>152146</v>
      </c>
      <c r="E101" s="120">
        <f>ROUNDUP((E98+E99)*0.2,0)</f>
        <v>137751</v>
      </c>
      <c r="F101" s="107">
        <v>0.2</v>
      </c>
      <c r="G101" s="4"/>
    </row>
    <row r="102" spans="1:7" ht="25.5" outlineLevel="1" x14ac:dyDescent="0.25">
      <c r="A102" s="196" t="s">
        <v>523</v>
      </c>
      <c r="B102" s="22" t="str">
        <f>CONCATENATE(H3,H24)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- 5221. Версия VPN»</v>
      </c>
      <c r="C102" s="256" t="s">
        <v>1616</v>
      </c>
      <c r="D102" s="118">
        <f>ROUNDUP(D101*0.97*3,0)</f>
        <v>442745</v>
      </c>
      <c r="E102" s="118">
        <f>ROUNDUP(E101*0.97*3,0)</f>
        <v>400856</v>
      </c>
      <c r="F102" s="107">
        <v>0.2</v>
      </c>
      <c r="G102" s="23"/>
    </row>
    <row r="103" spans="1:7" ht="26.25" outlineLevel="1" thickBot="1" x14ac:dyDescent="0.3">
      <c r="A103" s="101" t="s">
        <v>524</v>
      </c>
      <c r="B103" s="166" t="str">
        <f>CONCATENATE(H4,H24)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- 5221. Версия VPN»</v>
      </c>
      <c r="C103" s="269" t="s">
        <v>1617</v>
      </c>
      <c r="D103" s="123">
        <f>ROUNDUP(D101*0.95*5,0)</f>
        <v>722694</v>
      </c>
      <c r="E103" s="123">
        <f>ROUNDUP(E101*0.95*5,0)</f>
        <v>654318</v>
      </c>
      <c r="F103" s="60">
        <v>0.2</v>
      </c>
      <c r="G103" s="14"/>
    </row>
    <row r="104" spans="1:7" x14ac:dyDescent="0.25">
      <c r="A104" s="456" t="s">
        <v>93</v>
      </c>
      <c r="B104" s="58" t="s">
        <v>1183</v>
      </c>
      <c r="C104" s="98"/>
      <c r="D104" s="124"/>
      <c r="E104" s="125"/>
      <c r="F104" s="51"/>
      <c r="G104" s="53"/>
    </row>
    <row r="105" spans="1:7" ht="38.25" outlineLevel="1" x14ac:dyDescent="0.25">
      <c r="A105" s="457"/>
      <c r="B105" s="42" t="s">
        <v>1111</v>
      </c>
      <c r="C105" s="43" t="str">
        <f>'[1]Diamond VPN FW - UTM'!C85</f>
        <v>BF-2-048</v>
      </c>
      <c r="D105" s="121">
        <f>'Diamond VPN FW - UTM'!D92</f>
        <v>371250</v>
      </c>
      <c r="E105" s="122">
        <f>ROUNDUP(D105*0.95,0)</f>
        <v>352688</v>
      </c>
      <c r="F105" s="45">
        <v>0.2</v>
      </c>
      <c r="G105" s="48" t="str">
        <f>'Diamond VPN FW - UTM'!G92</f>
        <v xml:space="preserve">ОБЯЗАТЕЛЬНА ДОКУПКА МОДУЛЕЙ РАСШИРЕНИЯ!
1 x RJ45 GbE. 2 x USB 3.0. Установка в стойку 1U. 2 блока питания. 4 места для модулей расширения. Bypass в зависимости от модуля расширения. </v>
      </c>
    </row>
    <row r="106" spans="1:7" ht="51" outlineLevel="1" x14ac:dyDescent="0.25">
      <c r="A106" s="458"/>
      <c r="B106" s="42" t="s">
        <v>1197</v>
      </c>
      <c r="C106" s="43" t="s">
        <v>203</v>
      </c>
      <c r="D106" s="121">
        <f>ROUNDUP(359928-35718,0)</f>
        <v>324210</v>
      </c>
      <c r="E106" s="122">
        <f>ROUNDUP(D106*0.85,0)</f>
        <v>275579</v>
      </c>
      <c r="F106" s="44" t="s">
        <v>4</v>
      </c>
      <c r="G106" s="46" t="s">
        <v>1210</v>
      </c>
    </row>
    <row r="107" spans="1:7" ht="89.25" outlineLevel="1" x14ac:dyDescent="0.25">
      <c r="A107" s="350" t="s">
        <v>94</v>
      </c>
      <c r="B107" s="106" t="s">
        <v>1245</v>
      </c>
      <c r="C107" s="21" t="s">
        <v>204</v>
      </c>
      <c r="D107" s="120">
        <f>ROUNDUP(D105+((D106)*1.2),0)</f>
        <v>760302</v>
      </c>
      <c r="E107" s="120">
        <f>ROUNDUP(E105+((E106)*1.2),0)</f>
        <v>683383</v>
      </c>
      <c r="F107" s="24">
        <v>0.2</v>
      </c>
      <c r="G107" s="91" t="s">
        <v>1246</v>
      </c>
    </row>
    <row r="108" spans="1:7" ht="25.5" outlineLevel="1" x14ac:dyDescent="0.25">
      <c r="A108" s="196" t="s">
        <v>95</v>
      </c>
      <c r="B108" s="31" t="str">
        <f>CONCATENATE(H1,H13)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- 6101. Версия VPN»</v>
      </c>
      <c r="C108" s="5" t="s">
        <v>299</v>
      </c>
      <c r="D108" s="120">
        <f>ROUNDUP((D105+D106)*0.2,0)</f>
        <v>139092</v>
      </c>
      <c r="E108" s="120">
        <f>ROUNDUP((E105+E106)*0.2,0)</f>
        <v>125654</v>
      </c>
      <c r="F108" s="107">
        <v>0.2</v>
      </c>
      <c r="G108" s="93"/>
    </row>
    <row r="109" spans="1:7" ht="25.5" outlineLevel="1" x14ac:dyDescent="0.25">
      <c r="A109" s="196" t="s">
        <v>525</v>
      </c>
      <c r="B109" s="22" t="str">
        <f>CONCATENATE(H3,H13)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- 6101. Версия VPN»</v>
      </c>
      <c r="C109" s="21" t="s">
        <v>574</v>
      </c>
      <c r="D109" s="118">
        <f>ROUNDUP(D108*0.97*3,0)</f>
        <v>404758</v>
      </c>
      <c r="E109" s="118">
        <f>ROUNDUP(E108*0.97*3,0)</f>
        <v>365654</v>
      </c>
      <c r="F109" s="107">
        <v>0.2</v>
      </c>
      <c r="G109" s="197"/>
    </row>
    <row r="110" spans="1:7" ht="26.25" outlineLevel="1" thickBot="1" x14ac:dyDescent="0.3">
      <c r="A110" s="101" t="s">
        <v>526</v>
      </c>
      <c r="B110" s="166" t="str">
        <f>CONCATENATE(H4,H13)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- 6101. Версия VPN»</v>
      </c>
      <c r="C110" s="54" t="s">
        <v>575</v>
      </c>
      <c r="D110" s="123">
        <f>ROUNDUP(D108*0.95*5,0)</f>
        <v>660687</v>
      </c>
      <c r="E110" s="123">
        <f>ROUNDUP(E108*0.95*5,0)</f>
        <v>596857</v>
      </c>
      <c r="F110" s="60">
        <v>0.2</v>
      </c>
      <c r="G110" s="57"/>
    </row>
    <row r="111" spans="1:7" x14ac:dyDescent="0.25">
      <c r="A111" s="456" t="s">
        <v>830</v>
      </c>
      <c r="B111" s="58" t="s">
        <v>1184</v>
      </c>
      <c r="C111" s="49"/>
      <c r="D111" s="124"/>
      <c r="E111" s="125"/>
      <c r="F111" s="51"/>
      <c r="G111" s="56"/>
    </row>
    <row r="112" spans="1:7" ht="38.25" outlineLevel="1" x14ac:dyDescent="0.25">
      <c r="A112" s="457"/>
      <c r="B112" s="42" t="s">
        <v>1112</v>
      </c>
      <c r="C112" s="43" t="str">
        <f>'[1]Diamond VPN FW - UTM'!C92</f>
        <v>BF-2-053</v>
      </c>
      <c r="D112" s="121">
        <f>'Diamond VPN FW - UTM'!D99</f>
        <v>558000</v>
      </c>
      <c r="E112" s="122">
        <f>ROUNDUP(D112*0.95,0)</f>
        <v>530100</v>
      </c>
      <c r="F112" s="45">
        <v>0.2</v>
      </c>
      <c r="G112" s="48" t="str">
        <f>'Diamond VPN FW - UTM'!G99</f>
        <v xml:space="preserve">ОБЯЗАТЕЛЬНА ДОКУПКА МОДУЛЕЙ РАСШИРЕНИЯ!
1 x RJ45 GbE. 2 x USB 3.0. Установка в стойку 1U. 2 блока питания. 4 места для модулей расширения. Bypass в зависимости от модуля расширения. </v>
      </c>
    </row>
    <row r="113" spans="1:7" ht="51" outlineLevel="1" x14ac:dyDescent="0.25">
      <c r="A113" s="458"/>
      <c r="B113" s="42" t="s">
        <v>1198</v>
      </c>
      <c r="C113" s="43" t="s">
        <v>205</v>
      </c>
      <c r="D113" s="121">
        <f>ROUNDUP(762954-58594,0)</f>
        <v>704360</v>
      </c>
      <c r="E113" s="122">
        <f>ROUNDUP(D113*0.85,0)</f>
        <v>598706</v>
      </c>
      <c r="F113" s="44" t="s">
        <v>4</v>
      </c>
      <c r="G113" s="46" t="s">
        <v>1211</v>
      </c>
    </row>
    <row r="114" spans="1:7" ht="89.25" outlineLevel="1" x14ac:dyDescent="0.25">
      <c r="A114" s="350" t="s">
        <v>831</v>
      </c>
      <c r="B114" s="106" t="s">
        <v>1247</v>
      </c>
      <c r="C114" s="21" t="s">
        <v>206</v>
      </c>
      <c r="D114" s="120">
        <f>ROUNDUP(D112+((D113)*1.2),0)</f>
        <v>1403232</v>
      </c>
      <c r="E114" s="120">
        <f>ROUNDUP(E112+((E113)*1.2),0)</f>
        <v>1248548</v>
      </c>
      <c r="F114" s="24">
        <v>0.2</v>
      </c>
      <c r="G114" s="91" t="s">
        <v>1248</v>
      </c>
    </row>
    <row r="115" spans="1:7" ht="25.5" outlineLevel="1" x14ac:dyDescent="0.25">
      <c r="A115" s="196" t="s">
        <v>832</v>
      </c>
      <c r="B115" s="31" t="str">
        <f>CONCATENATE(H1,H14)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- 7101. Версия VPN»</v>
      </c>
      <c r="C115" s="5" t="s">
        <v>300</v>
      </c>
      <c r="D115" s="120">
        <f>ROUNDUP((D112+D113)*0.2,0)</f>
        <v>252472</v>
      </c>
      <c r="E115" s="120">
        <f>ROUNDUP((E112+E113)*0.2,0)</f>
        <v>225762</v>
      </c>
      <c r="F115" s="107">
        <v>0.2</v>
      </c>
      <c r="G115" s="93"/>
    </row>
    <row r="116" spans="1:7" ht="25.5" outlineLevel="1" x14ac:dyDescent="0.25">
      <c r="A116" s="196" t="s">
        <v>833</v>
      </c>
      <c r="B116" s="22" t="str">
        <f>CONCATENATE(H3,H14)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- 7101. Версия VPN»</v>
      </c>
      <c r="C116" s="21" t="s">
        <v>576</v>
      </c>
      <c r="D116" s="118">
        <f>ROUNDUP(D115*0.97*3,0)</f>
        <v>734694</v>
      </c>
      <c r="E116" s="118">
        <f>ROUNDUP(E115*0.97*3,0)</f>
        <v>656968</v>
      </c>
      <c r="F116" s="107">
        <v>0.2</v>
      </c>
      <c r="G116" s="197"/>
    </row>
    <row r="117" spans="1:7" ht="26.25" outlineLevel="1" thickBot="1" x14ac:dyDescent="0.3">
      <c r="A117" s="101" t="s">
        <v>834</v>
      </c>
      <c r="B117" s="166" t="str">
        <f>CONCATENATE(H4,H14)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- 7101. Версия VPN»</v>
      </c>
      <c r="C117" s="54" t="s">
        <v>577</v>
      </c>
      <c r="D117" s="123">
        <f>ROUNDUP(D115*0.95*5,0)</f>
        <v>1199242</v>
      </c>
      <c r="E117" s="123">
        <f>ROUNDUP(E115*0.95*5,0)</f>
        <v>1072370</v>
      </c>
      <c r="F117" s="60">
        <v>0.2</v>
      </c>
      <c r="G117" s="57"/>
    </row>
    <row r="118" spans="1:7" x14ac:dyDescent="0.25">
      <c r="A118" s="456" t="s">
        <v>1484</v>
      </c>
      <c r="B118" s="58" t="s">
        <v>1185</v>
      </c>
      <c r="C118" s="49"/>
      <c r="D118" s="124"/>
      <c r="E118" s="125"/>
      <c r="F118" s="51"/>
      <c r="G118" s="56"/>
    </row>
    <row r="119" spans="1:7" ht="38.25" outlineLevel="1" x14ac:dyDescent="0.25">
      <c r="A119" s="457"/>
      <c r="B119" s="42" t="s">
        <v>1113</v>
      </c>
      <c r="C119" s="43" t="str">
        <f>'[1]Diamond VPN FW - UTM'!C99</f>
        <v>BF-2-059</v>
      </c>
      <c r="D119" s="121">
        <f>'Diamond VPN FW - UTM'!D106</f>
        <v>994500</v>
      </c>
      <c r="E119" s="122">
        <f>ROUNDUP(D119*0.95,0)</f>
        <v>944775</v>
      </c>
      <c r="F119" s="45">
        <v>0.2</v>
      </c>
      <c r="G119" s="48" t="str">
        <f>'Diamond VPN FW - UTM'!G106</f>
        <v xml:space="preserve">ОБЯЗАТЕЛЬНА ДОКУПКА МОДУЛЕЙ РАСШИРЕНИЯ!
1 x RJ45 GbE. 2 x USB 3.0. Установка в стойку 1U. 2 блока питания. 4 места для модулей расширения. Bypass в зависимости от модуля расширения. </v>
      </c>
    </row>
    <row r="120" spans="1:7" ht="51" outlineLevel="1" x14ac:dyDescent="0.25">
      <c r="A120" s="458"/>
      <c r="B120" s="42" t="s">
        <v>1199</v>
      </c>
      <c r="C120" s="43" t="s">
        <v>207</v>
      </c>
      <c r="D120" s="121">
        <f>ROUNDUP(1944688-78802,0)</f>
        <v>1865886</v>
      </c>
      <c r="E120" s="122">
        <f>ROUNDUP(D120*0.85,0)</f>
        <v>1586004</v>
      </c>
      <c r="F120" s="44" t="s">
        <v>4</v>
      </c>
      <c r="G120" s="46" t="s">
        <v>1212</v>
      </c>
    </row>
    <row r="121" spans="1:7" ht="89.25" outlineLevel="1" x14ac:dyDescent="0.25">
      <c r="A121" s="350" t="s">
        <v>1485</v>
      </c>
      <c r="B121" s="106" t="s">
        <v>1249</v>
      </c>
      <c r="C121" s="21" t="s">
        <v>208</v>
      </c>
      <c r="D121" s="120">
        <f>ROUNDUP(D119+((D120)*1.2),0)</f>
        <v>3233564</v>
      </c>
      <c r="E121" s="120">
        <f>ROUNDUP(E119+((E120)*1.2),0)</f>
        <v>2847980</v>
      </c>
      <c r="F121" s="24">
        <v>0.2</v>
      </c>
      <c r="G121" s="91" t="s">
        <v>1250</v>
      </c>
    </row>
    <row r="122" spans="1:7" ht="25.5" outlineLevel="1" x14ac:dyDescent="0.25">
      <c r="A122" s="196" t="s">
        <v>1486</v>
      </c>
      <c r="B122" s="31" t="str">
        <f>CONCATENATE(H1,H15)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- 7141. Версия VPN»</v>
      </c>
      <c r="C122" s="5" t="s">
        <v>301</v>
      </c>
      <c r="D122" s="120">
        <f>ROUNDUP((D119+D120)*0.2,0)</f>
        <v>572078</v>
      </c>
      <c r="E122" s="120">
        <f>ROUNDUP((E119+E120)*0.2,0)</f>
        <v>506156</v>
      </c>
      <c r="F122" s="107">
        <v>0.2</v>
      </c>
      <c r="G122" s="93"/>
    </row>
    <row r="123" spans="1:7" ht="25.5" outlineLevel="1" x14ac:dyDescent="0.25">
      <c r="A123" s="196" t="s">
        <v>1487</v>
      </c>
      <c r="B123" s="22" t="str">
        <f>CONCATENATE(H3,H15)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- 7141. Версия VPN»</v>
      </c>
      <c r="C123" s="21" t="s">
        <v>578</v>
      </c>
      <c r="D123" s="118">
        <f>ROUNDUP(D122*0.97*3,0)</f>
        <v>1664747</v>
      </c>
      <c r="E123" s="118">
        <f>ROUNDUP(E122*0.97*3,0)</f>
        <v>1472914</v>
      </c>
      <c r="F123" s="107">
        <v>0.2</v>
      </c>
      <c r="G123" s="197"/>
    </row>
    <row r="124" spans="1:7" ht="26.25" outlineLevel="1" thickBot="1" x14ac:dyDescent="0.3">
      <c r="A124" s="101" t="s">
        <v>1488</v>
      </c>
      <c r="B124" s="166" t="str">
        <f>CONCATENATE(H4,H15)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- 7141. Версия VPN»</v>
      </c>
      <c r="C124" s="54" t="s">
        <v>579</v>
      </c>
      <c r="D124" s="123">
        <f>ROUNDUP(D122*0.95*5,0)</f>
        <v>2717371</v>
      </c>
      <c r="E124" s="123">
        <f>ROUNDUP(E122*0.95*5,0)</f>
        <v>2404241</v>
      </c>
      <c r="F124" s="60">
        <v>0.2</v>
      </c>
      <c r="G124" s="57"/>
    </row>
    <row r="125" spans="1:7" x14ac:dyDescent="0.25">
      <c r="A125" s="456" t="s">
        <v>1489</v>
      </c>
      <c r="B125" s="58" t="s">
        <v>1186</v>
      </c>
      <c r="C125" s="49"/>
      <c r="D125" s="184"/>
      <c r="E125" s="125"/>
      <c r="F125" s="51"/>
      <c r="G125" s="56"/>
    </row>
    <row r="126" spans="1:7" ht="38.25" outlineLevel="1" x14ac:dyDescent="0.25">
      <c r="A126" s="457"/>
      <c r="B126" s="42" t="s">
        <v>1114</v>
      </c>
      <c r="C126" s="43" t="str">
        <f>'[1]Diamond VPN FW - UTM'!C106</f>
        <v>BF-2-067</v>
      </c>
      <c r="D126" s="121">
        <f>'Diamond VPN FW - UTM'!D113</f>
        <v>1866396</v>
      </c>
      <c r="E126" s="122">
        <f>ROUNDUP(D126*0.95,0)</f>
        <v>1773077</v>
      </c>
      <c r="F126" s="45">
        <v>0.2</v>
      </c>
      <c r="G126" s="48" t="s">
        <v>443</v>
      </c>
    </row>
    <row r="127" spans="1:7" ht="51" outlineLevel="1" x14ac:dyDescent="0.25">
      <c r="A127" s="458"/>
      <c r="B127" s="42" t="s">
        <v>1200</v>
      </c>
      <c r="C127" s="43" t="s">
        <v>209</v>
      </c>
      <c r="D127" s="121">
        <f>ROUNDUP(('Diamond VPN FW - UTM'!D114+35600)*0.4,0)-16000</f>
        <v>2206768</v>
      </c>
      <c r="E127" s="122">
        <f>ROUNDUP(D127*0.85,0)</f>
        <v>1875753</v>
      </c>
      <c r="F127" s="44" t="s">
        <v>4</v>
      </c>
      <c r="G127" s="46" t="s">
        <v>1213</v>
      </c>
    </row>
    <row r="128" spans="1:7" ht="89.25" outlineLevel="1" x14ac:dyDescent="0.25">
      <c r="A128" s="350" t="s">
        <v>1490</v>
      </c>
      <c r="B128" s="106" t="s">
        <v>1251</v>
      </c>
      <c r="C128" s="21" t="s">
        <v>210</v>
      </c>
      <c r="D128" s="120">
        <f>ROUNDUP(D126+((D127)*1.2),0)</f>
        <v>4514518</v>
      </c>
      <c r="E128" s="120">
        <f>ROUNDUP(E126+((E127)*1.2),0)</f>
        <v>4023981</v>
      </c>
      <c r="F128" s="24">
        <v>0.2</v>
      </c>
      <c r="G128" s="91" t="s">
        <v>1252</v>
      </c>
    </row>
    <row r="129" spans="1:7" ht="25.5" outlineLevel="1" x14ac:dyDescent="0.25">
      <c r="A129" s="196" t="s">
        <v>1491</v>
      </c>
      <c r="B129" s="31" t="str">
        <f>CONCATENATE(H1,H17)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- 7151. Версия VPN»</v>
      </c>
      <c r="C129" s="5" t="s">
        <v>302</v>
      </c>
      <c r="D129" s="120">
        <f>ROUNDUP((D126+D127)*0.2,0)</f>
        <v>814633</v>
      </c>
      <c r="E129" s="120">
        <f>ROUNDUP((E126+E127)*0.2,0)</f>
        <v>729766</v>
      </c>
      <c r="F129" s="107">
        <v>0.2</v>
      </c>
      <c r="G129" s="93"/>
    </row>
    <row r="130" spans="1:7" ht="25.5" outlineLevel="1" x14ac:dyDescent="0.25">
      <c r="A130" s="196" t="s">
        <v>1492</v>
      </c>
      <c r="B130" s="22" t="str">
        <f>CONCATENATE(H3,H17)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- 7151. Версия VPN»</v>
      </c>
      <c r="C130" s="21" t="s">
        <v>580</v>
      </c>
      <c r="D130" s="118">
        <f>ROUNDUP(D129*0.97*3,0)</f>
        <v>2370583</v>
      </c>
      <c r="E130" s="118">
        <f>ROUNDUP(E129*0.97*3,0)</f>
        <v>2123620</v>
      </c>
      <c r="F130" s="107">
        <v>0.2</v>
      </c>
      <c r="G130" s="197"/>
    </row>
    <row r="131" spans="1:7" ht="26.25" outlineLevel="1" thickBot="1" x14ac:dyDescent="0.3">
      <c r="A131" s="101" t="s">
        <v>1493</v>
      </c>
      <c r="B131" s="166" t="str">
        <f>CONCATENATE(H4,H17)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- 7151. Версия VPN»</v>
      </c>
      <c r="C131" s="54" t="s">
        <v>581</v>
      </c>
      <c r="D131" s="123">
        <f>ROUNDUP(D129*0.95*5,0)</f>
        <v>3869507</v>
      </c>
      <c r="E131" s="123">
        <f>ROUNDUP(E129*0.95*5,0)</f>
        <v>3466389</v>
      </c>
      <c r="F131" s="60">
        <v>0.2</v>
      </c>
      <c r="G131" s="57"/>
    </row>
    <row r="132" spans="1:7" x14ac:dyDescent="0.25">
      <c r="A132" s="456" t="s">
        <v>1494</v>
      </c>
      <c r="B132" s="58" t="s">
        <v>1187</v>
      </c>
      <c r="C132" s="49"/>
      <c r="D132" s="124"/>
      <c r="E132" s="125"/>
      <c r="F132" s="51"/>
      <c r="G132" s="56"/>
    </row>
    <row r="133" spans="1:7" ht="38.25" outlineLevel="1" x14ac:dyDescent="0.25">
      <c r="A133" s="457"/>
      <c r="B133" s="42" t="s">
        <v>1115</v>
      </c>
      <c r="C133" s="43" t="str">
        <f>'[1]Diamond VPN FW - UTM'!C113</f>
        <v>BF-2-068</v>
      </c>
      <c r="D133" s="121">
        <f>'Diamond VPN FW - UTM'!D120</f>
        <v>72026</v>
      </c>
      <c r="E133" s="122">
        <f>ROUNDUP(D133*0.95,0)</f>
        <v>68425</v>
      </c>
      <c r="F133" s="45">
        <v>0.2</v>
      </c>
      <c r="G133" s="47" t="str">
        <f>'Diamond VPN FW - UTM'!G120</f>
        <v xml:space="preserve">Многофункциональный комплекс сетевой защиты Diamond VPN/FW в промышленном исполнении для монтажа на DIN-рейку. 4 x RJ45 GbE.1 х USB 3.0, 1 x USB 2.0. Рабочая температура  -20°C…55°C. </v>
      </c>
    </row>
    <row r="134" spans="1:7" ht="51" outlineLevel="1" x14ac:dyDescent="0.25">
      <c r="A134" s="458"/>
      <c r="B134" s="42" t="s">
        <v>1201</v>
      </c>
      <c r="C134" s="43" t="s">
        <v>211</v>
      </c>
      <c r="D134" s="121">
        <f>ROUNDUP(('Diamond VPN FW - UTM'!D121+35600)*0.4,0)-16000</f>
        <v>99742</v>
      </c>
      <c r="E134" s="121">
        <f>ROUNDUP(D134*0.85,0)</f>
        <v>84781</v>
      </c>
      <c r="F134" s="44" t="s">
        <v>4</v>
      </c>
      <c r="G134" s="46" t="s">
        <v>1214</v>
      </c>
    </row>
    <row r="135" spans="1:7" ht="89.25" outlineLevel="1" x14ac:dyDescent="0.25">
      <c r="A135" s="350" t="s">
        <v>1495</v>
      </c>
      <c r="B135" s="106" t="s">
        <v>1253</v>
      </c>
      <c r="C135" s="21" t="s">
        <v>212</v>
      </c>
      <c r="D135" s="120">
        <f>ROUNDUP(D133+((D134)*1.2),0)</f>
        <v>191717</v>
      </c>
      <c r="E135" s="120">
        <f>ROUNDUP(E133+((E134)*1.2),0)</f>
        <v>170163</v>
      </c>
      <c r="F135" s="24">
        <v>0.2</v>
      </c>
      <c r="G135" s="91" t="s">
        <v>1254</v>
      </c>
    </row>
    <row r="136" spans="1:7" ht="25.5" outlineLevel="1" x14ac:dyDescent="0.25">
      <c r="A136" s="196" t="s">
        <v>1496</v>
      </c>
      <c r="B136" s="31" t="str">
        <f>CONCATENATE(H1,H18)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- 8101. Версия VPN»</v>
      </c>
      <c r="C136" s="5" t="s">
        <v>303</v>
      </c>
      <c r="D136" s="120">
        <f>(D133+D134)*0.2</f>
        <v>34353.599999999999</v>
      </c>
      <c r="E136" s="120">
        <f>ROUNDUP((E133+E134)*0.2,0)</f>
        <v>30642</v>
      </c>
      <c r="F136" s="107">
        <v>0.2</v>
      </c>
      <c r="G136" s="4"/>
    </row>
    <row r="137" spans="1:7" ht="25.5" outlineLevel="1" x14ac:dyDescent="0.25">
      <c r="A137" s="196" t="s">
        <v>1497</v>
      </c>
      <c r="B137" s="22" t="str">
        <f>CONCATENATE(H3,H18)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- 8101. Версия VPN»</v>
      </c>
      <c r="C137" s="21" t="s">
        <v>582</v>
      </c>
      <c r="D137" s="118">
        <f>ROUNDUP(D136*0.97*3,0)</f>
        <v>99969</v>
      </c>
      <c r="E137" s="118">
        <f>ROUNDUP(E136*0.97*3,0)</f>
        <v>89169</v>
      </c>
      <c r="F137" s="107">
        <v>0.2</v>
      </c>
      <c r="G137" s="23"/>
    </row>
    <row r="138" spans="1:7" ht="26.25" outlineLevel="1" thickBot="1" x14ac:dyDescent="0.3">
      <c r="A138" s="101" t="s">
        <v>1498</v>
      </c>
      <c r="B138" s="166" t="str">
        <f>CONCATENATE(H4,H18)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- 8101. Версия VPN»</v>
      </c>
      <c r="C138" s="54" t="s">
        <v>583</v>
      </c>
      <c r="D138" s="123">
        <f>ROUNDUP(D136*0.95*5,0)</f>
        <v>163180</v>
      </c>
      <c r="E138" s="123">
        <f>ROUNDUP(E136*0.95*5,0)</f>
        <v>145550</v>
      </c>
      <c r="F138" s="60">
        <v>0.2</v>
      </c>
      <c r="G138" s="14"/>
    </row>
    <row r="139" spans="1:7" ht="15.75" thickBot="1" x14ac:dyDescent="0.3">
      <c r="A139" s="205"/>
      <c r="B139" s="94" t="s">
        <v>33</v>
      </c>
      <c r="C139" s="95"/>
      <c r="D139" s="128"/>
      <c r="E139" s="128"/>
      <c r="F139" s="96"/>
      <c r="G139" s="97"/>
    </row>
    <row r="140" spans="1:7" ht="15.75" outlineLevel="1" thickBot="1" x14ac:dyDescent="0.3">
      <c r="A140" s="70">
        <v>20</v>
      </c>
      <c r="B140" s="11" t="s">
        <v>38</v>
      </c>
      <c r="C140" s="21" t="s">
        <v>183</v>
      </c>
      <c r="D140" s="267">
        <v>500</v>
      </c>
      <c r="E140" s="403">
        <f>D140*0.85</f>
        <v>425</v>
      </c>
      <c r="F140" s="24">
        <v>0.2</v>
      </c>
      <c r="G140" s="23" t="s">
        <v>34</v>
      </c>
    </row>
    <row r="141" spans="1:7" ht="26.25" outlineLevel="1" thickBot="1" x14ac:dyDescent="0.3">
      <c r="A141" s="70">
        <v>21</v>
      </c>
      <c r="B141" s="11" t="s">
        <v>39</v>
      </c>
      <c r="C141" s="21" t="s">
        <v>474</v>
      </c>
      <c r="D141" s="118">
        <f>12500*1.04</f>
        <v>13000</v>
      </c>
      <c r="E141" s="119">
        <f>D141*0.85</f>
        <v>11050</v>
      </c>
      <c r="F141" s="24">
        <v>0.2</v>
      </c>
      <c r="G141" s="23" t="s">
        <v>36</v>
      </c>
    </row>
    <row r="142" spans="1:7" ht="15.75" outlineLevel="1" thickBot="1" x14ac:dyDescent="0.3">
      <c r="A142" s="70">
        <v>22</v>
      </c>
      <c r="B142" s="12" t="s">
        <v>473</v>
      </c>
      <c r="C142" s="21" t="s">
        <v>184</v>
      </c>
      <c r="D142" s="404">
        <v>500</v>
      </c>
      <c r="E142" s="404">
        <f>D142*0.85</f>
        <v>425</v>
      </c>
      <c r="F142" s="32">
        <v>0.2</v>
      </c>
      <c r="G142" s="4" t="s">
        <v>34</v>
      </c>
    </row>
    <row r="143" spans="1:7" ht="64.5" outlineLevel="1" thickBot="1" x14ac:dyDescent="0.3">
      <c r="A143" s="73"/>
      <c r="B143" s="15" t="s">
        <v>829</v>
      </c>
      <c r="C143" s="16"/>
      <c r="D143" s="17"/>
      <c r="E143" s="17"/>
      <c r="F143" s="17"/>
      <c r="G143" s="18" t="s">
        <v>1046</v>
      </c>
    </row>
    <row r="144" spans="1:7" ht="77.25" outlineLevel="1" thickBot="1" x14ac:dyDescent="0.3">
      <c r="A144" s="313">
        <v>23</v>
      </c>
      <c r="B144" s="291" t="s">
        <v>1443</v>
      </c>
      <c r="C144" s="314" t="s">
        <v>422</v>
      </c>
      <c r="D144" s="315">
        <v>0.2</v>
      </c>
      <c r="E144" s="315">
        <v>0.2</v>
      </c>
      <c r="F144" s="316">
        <v>0.2</v>
      </c>
      <c r="G144" s="105" t="s">
        <v>1048</v>
      </c>
    </row>
    <row r="145" spans="1:7" ht="102.75" outlineLevel="1" thickBot="1" x14ac:dyDescent="0.3">
      <c r="A145" s="313">
        <v>24</v>
      </c>
      <c r="B145" s="213" t="s">
        <v>1444</v>
      </c>
      <c r="C145" s="174" t="s">
        <v>669</v>
      </c>
      <c r="D145" s="83">
        <v>0.2</v>
      </c>
      <c r="E145" s="83">
        <v>0.2</v>
      </c>
      <c r="F145" s="110">
        <v>0.2</v>
      </c>
      <c r="G145" s="6" t="s">
        <v>1313</v>
      </c>
    </row>
    <row r="146" spans="1:7" ht="77.25" thickBot="1" x14ac:dyDescent="0.3">
      <c r="A146" s="313">
        <v>25</v>
      </c>
      <c r="B146" s="290" t="s">
        <v>1445</v>
      </c>
      <c r="C146" s="176" t="s">
        <v>670</v>
      </c>
      <c r="D146" s="317">
        <v>0.2</v>
      </c>
      <c r="E146" s="317">
        <v>0.2</v>
      </c>
      <c r="F146" s="111">
        <v>0.2</v>
      </c>
      <c r="G146" s="318" t="s">
        <v>1314</v>
      </c>
    </row>
    <row r="147" spans="1:7" ht="77.25" outlineLevel="1" thickBot="1" x14ac:dyDescent="0.3">
      <c r="A147" s="313">
        <v>26</v>
      </c>
      <c r="B147" s="169" t="s">
        <v>1446</v>
      </c>
      <c r="C147" s="177" t="s">
        <v>423</v>
      </c>
      <c r="D147" s="311">
        <v>0.3</v>
      </c>
      <c r="E147" s="311">
        <v>0.3</v>
      </c>
      <c r="F147" s="312">
        <v>0.2</v>
      </c>
      <c r="G147" s="6" t="s">
        <v>1039</v>
      </c>
    </row>
    <row r="148" spans="1:7" ht="77.25" outlineLevel="1" thickBot="1" x14ac:dyDescent="0.3">
      <c r="A148" s="313">
        <v>27</v>
      </c>
      <c r="B148" s="169" t="s">
        <v>1447</v>
      </c>
      <c r="C148" s="174" t="s">
        <v>671</v>
      </c>
      <c r="D148" s="13">
        <v>0.3</v>
      </c>
      <c r="E148" s="13">
        <v>0.3</v>
      </c>
      <c r="F148" s="110">
        <v>0.2</v>
      </c>
      <c r="G148" s="6" t="s">
        <v>1320</v>
      </c>
    </row>
    <row r="149" spans="1:7" ht="77.25" outlineLevel="1" thickBot="1" x14ac:dyDescent="0.3">
      <c r="A149" s="313">
        <v>28</v>
      </c>
      <c r="B149" s="169" t="s">
        <v>1448</v>
      </c>
      <c r="C149" s="174" t="s">
        <v>672</v>
      </c>
      <c r="D149" s="13">
        <v>0.3</v>
      </c>
      <c r="E149" s="13">
        <v>0.3</v>
      </c>
      <c r="F149" s="110">
        <v>0.2</v>
      </c>
      <c r="G149" s="6" t="s">
        <v>1041</v>
      </c>
    </row>
    <row r="150" spans="1:7" ht="115.5" thickBot="1" x14ac:dyDescent="0.3">
      <c r="A150" s="313">
        <v>29</v>
      </c>
      <c r="B150" s="170" t="s">
        <v>1449</v>
      </c>
      <c r="C150" s="174" t="s">
        <v>432</v>
      </c>
      <c r="D150" s="147">
        <v>0.35</v>
      </c>
      <c r="E150" s="147">
        <v>0.35</v>
      </c>
      <c r="F150" s="110">
        <v>0.2</v>
      </c>
      <c r="G150" s="6" t="s">
        <v>1043</v>
      </c>
    </row>
    <row r="151" spans="1:7" ht="115.5" outlineLevel="1" thickBot="1" x14ac:dyDescent="0.3">
      <c r="A151" s="313">
        <v>30</v>
      </c>
      <c r="B151" s="170" t="s">
        <v>1450</v>
      </c>
      <c r="C151" s="174" t="s">
        <v>673</v>
      </c>
      <c r="D151" s="147">
        <v>0.35</v>
      </c>
      <c r="E151" s="147">
        <v>0.35</v>
      </c>
      <c r="F151" s="110">
        <v>0.2</v>
      </c>
      <c r="G151" s="6" t="s">
        <v>1044</v>
      </c>
    </row>
    <row r="152" spans="1:7" ht="115.5" outlineLevel="1" thickBot="1" x14ac:dyDescent="0.3">
      <c r="A152" s="313">
        <v>31</v>
      </c>
      <c r="B152" s="170" t="s">
        <v>1451</v>
      </c>
      <c r="C152" s="174" t="s">
        <v>674</v>
      </c>
      <c r="D152" s="147">
        <v>0.35</v>
      </c>
      <c r="E152" s="147">
        <v>0.35</v>
      </c>
      <c r="F152" s="110">
        <v>0.2</v>
      </c>
      <c r="G152" s="6" t="s">
        <v>1045</v>
      </c>
    </row>
    <row r="153" spans="1:7" ht="26.25" outlineLevel="1" thickBot="1" x14ac:dyDescent="0.3">
      <c r="A153" s="313">
        <v>32</v>
      </c>
      <c r="B153" s="149" t="s">
        <v>1452</v>
      </c>
      <c r="C153" s="174" t="s">
        <v>437</v>
      </c>
      <c r="D153" s="110">
        <v>0.15</v>
      </c>
      <c r="E153" s="110">
        <v>0.15</v>
      </c>
      <c r="F153" s="110">
        <v>0.2</v>
      </c>
      <c r="G153" s="6" t="s">
        <v>1047</v>
      </c>
    </row>
    <row r="154" spans="1:7" ht="26.25" outlineLevel="1" thickBot="1" x14ac:dyDescent="0.3">
      <c r="A154" s="313">
        <v>33</v>
      </c>
      <c r="B154" s="150" t="s">
        <v>1453</v>
      </c>
      <c r="C154" s="176" t="s">
        <v>449</v>
      </c>
      <c r="D154" s="111">
        <v>0.25</v>
      </c>
      <c r="E154" s="111">
        <v>0.25</v>
      </c>
      <c r="F154" s="111">
        <v>0.2</v>
      </c>
      <c r="G154" s="14" t="s">
        <v>1047</v>
      </c>
    </row>
    <row r="155" spans="1:7" ht="165" customHeight="1" outlineLevel="1" x14ac:dyDescent="0.25"/>
    <row r="156" spans="1:7" ht="165" customHeight="1" outlineLevel="1" x14ac:dyDescent="0.25"/>
    <row r="157" spans="1:7" ht="198" customHeight="1" outlineLevel="1" x14ac:dyDescent="0.25"/>
    <row r="158" spans="1:7" ht="213" customHeight="1" outlineLevel="1" x14ac:dyDescent="0.25"/>
    <row r="159" spans="1:7" ht="192" customHeight="1" outlineLevel="1" x14ac:dyDescent="0.25"/>
    <row r="160" spans="1:7" outlineLevel="1" x14ac:dyDescent="0.25"/>
    <row r="161" ht="44.25" customHeight="1" outlineLevel="1" x14ac:dyDescent="0.25"/>
    <row r="162" ht="30.75" customHeight="1" x14ac:dyDescent="0.25"/>
    <row r="163" ht="30.75" customHeight="1" x14ac:dyDescent="0.25"/>
    <row r="168" ht="30" customHeight="1" x14ac:dyDescent="0.25"/>
    <row r="169" ht="30" customHeight="1" x14ac:dyDescent="0.25"/>
    <row r="170" ht="30" customHeight="1" x14ac:dyDescent="0.25"/>
    <row r="175" ht="30" customHeight="1" x14ac:dyDescent="0.25"/>
    <row r="176" ht="30" customHeight="1" x14ac:dyDescent="0.25"/>
    <row r="177" ht="30" customHeight="1" x14ac:dyDescent="0.25"/>
    <row r="182" ht="30.75" customHeight="1" x14ac:dyDescent="0.25"/>
    <row r="183" ht="30.75" customHeight="1" x14ac:dyDescent="0.25"/>
    <row r="184" ht="30.75" customHeight="1" x14ac:dyDescent="0.25"/>
    <row r="189" ht="30" customHeight="1" x14ac:dyDescent="0.25"/>
    <row r="190" ht="30" customHeight="1" x14ac:dyDescent="0.25"/>
    <row r="191" ht="30" customHeight="1" x14ac:dyDescent="0.25"/>
    <row r="196" ht="29.25" customHeight="1" x14ac:dyDescent="0.25"/>
    <row r="197" ht="29.25" customHeight="1" x14ac:dyDescent="0.25"/>
    <row r="198" ht="29.25" customHeight="1" x14ac:dyDescent="0.25"/>
    <row r="203" ht="30" customHeight="1" x14ac:dyDescent="0.25"/>
    <row r="204" ht="30" customHeight="1" x14ac:dyDescent="0.25"/>
    <row r="205" ht="30" customHeight="1" x14ac:dyDescent="0.25"/>
    <row r="210" ht="30" customHeight="1" x14ac:dyDescent="0.25"/>
    <row r="211" ht="30" customHeight="1" x14ac:dyDescent="0.25"/>
    <row r="212" ht="30" customHeight="1" x14ac:dyDescent="0.25"/>
    <row r="217" ht="30" customHeight="1" x14ac:dyDescent="0.25"/>
    <row r="218" ht="30" customHeight="1" x14ac:dyDescent="0.25"/>
    <row r="219" ht="30" customHeight="1" x14ac:dyDescent="0.25"/>
    <row r="224" ht="30" customHeight="1" x14ac:dyDescent="0.25"/>
    <row r="225" ht="30" customHeight="1" x14ac:dyDescent="0.25"/>
    <row r="226" ht="30" customHeight="1" x14ac:dyDescent="0.25"/>
    <row r="231" ht="30" customHeight="1" x14ac:dyDescent="0.25"/>
    <row r="232" ht="30" customHeight="1" x14ac:dyDescent="0.25"/>
    <row r="233" ht="30" customHeight="1" x14ac:dyDescent="0.25"/>
    <row r="238" ht="30" customHeight="1" x14ac:dyDescent="0.25"/>
    <row r="239" ht="30" customHeight="1" x14ac:dyDescent="0.25"/>
    <row r="240" ht="30" customHeight="1" x14ac:dyDescent="0.25"/>
    <row r="245" ht="30.75" customHeight="1" x14ac:dyDescent="0.25"/>
    <row r="246" ht="30.75" customHeight="1" x14ac:dyDescent="0.25"/>
    <row r="247" ht="30.75" customHeight="1" x14ac:dyDescent="0.25"/>
    <row r="252" ht="31.5" customHeight="1" x14ac:dyDescent="0.25"/>
    <row r="253" ht="31.5" customHeight="1" x14ac:dyDescent="0.25"/>
    <row r="254" ht="31.5" customHeight="1" x14ac:dyDescent="0.25"/>
    <row r="259" ht="30" customHeight="1" x14ac:dyDescent="0.25"/>
    <row r="260" ht="30" customHeight="1" x14ac:dyDescent="0.25"/>
    <row r="261" ht="30" customHeight="1" x14ac:dyDescent="0.25"/>
    <row r="266" ht="30" customHeight="1" x14ac:dyDescent="0.25"/>
    <row r="267" ht="30" customHeight="1" x14ac:dyDescent="0.25"/>
    <row r="268" ht="30" customHeight="1" x14ac:dyDescent="0.25"/>
    <row r="273" ht="30.75" customHeight="1" x14ac:dyDescent="0.25"/>
    <row r="274" ht="30.75" customHeight="1" x14ac:dyDescent="0.25"/>
    <row r="275" ht="30.75" customHeight="1" x14ac:dyDescent="0.25"/>
    <row r="280" ht="30.75" customHeight="1" x14ac:dyDescent="0.25"/>
    <row r="281" ht="30.75" customHeight="1" x14ac:dyDescent="0.25"/>
    <row r="282" ht="30.75" customHeight="1" x14ac:dyDescent="0.25"/>
    <row r="287" ht="30.75" customHeight="1" x14ac:dyDescent="0.25"/>
    <row r="288" ht="30.75" customHeight="1" x14ac:dyDescent="0.25"/>
    <row r="289" ht="30.75" customHeight="1" x14ac:dyDescent="0.25"/>
    <row r="294" ht="30" customHeight="1" x14ac:dyDescent="0.25"/>
    <row r="295" ht="30" customHeight="1" x14ac:dyDescent="0.25"/>
    <row r="296" ht="30" customHeight="1" x14ac:dyDescent="0.25"/>
    <row r="301" ht="31.5" customHeight="1" x14ac:dyDescent="0.25"/>
    <row r="302" ht="31.5" customHeight="1" x14ac:dyDescent="0.25"/>
    <row r="303" ht="31.5" customHeight="1" x14ac:dyDescent="0.25"/>
    <row r="308" ht="31.5" customHeight="1" x14ac:dyDescent="0.25"/>
    <row r="309" ht="31.5" customHeight="1" x14ac:dyDescent="0.25"/>
    <row r="310" ht="31.5" customHeight="1" x14ac:dyDescent="0.25"/>
    <row r="315" ht="30.75" customHeight="1" x14ac:dyDescent="0.25"/>
    <row r="316" ht="30.75" customHeight="1" x14ac:dyDescent="0.25"/>
    <row r="317" ht="30.75" customHeight="1" x14ac:dyDescent="0.25"/>
    <row r="322" ht="30" customHeight="1" x14ac:dyDescent="0.25"/>
    <row r="323" ht="30" customHeight="1" x14ac:dyDescent="0.25"/>
    <row r="324" ht="30" customHeight="1" x14ac:dyDescent="0.25"/>
    <row r="329" ht="30.75" customHeight="1" x14ac:dyDescent="0.25"/>
    <row r="330" ht="30.75" customHeight="1" x14ac:dyDescent="0.25"/>
    <row r="331" ht="30.75" customHeight="1" x14ac:dyDescent="0.25"/>
    <row r="336" ht="29.25" customHeight="1" x14ac:dyDescent="0.25"/>
    <row r="337" ht="29.25" customHeight="1" x14ac:dyDescent="0.25"/>
    <row r="338" ht="29.25" customHeight="1" x14ac:dyDescent="0.25"/>
    <row r="343" ht="30.75" customHeight="1" x14ac:dyDescent="0.25"/>
    <row r="344" ht="30.75" customHeight="1" x14ac:dyDescent="0.25"/>
    <row r="345" ht="30.75" customHeight="1" x14ac:dyDescent="0.25"/>
    <row r="350" ht="29.25" customHeight="1" x14ac:dyDescent="0.25"/>
    <row r="351" ht="29.25" customHeight="1" x14ac:dyDescent="0.25"/>
    <row r="352" ht="29.25" customHeight="1" x14ac:dyDescent="0.25"/>
    <row r="353" ht="15" customHeight="1" x14ac:dyDescent="0.25"/>
    <row r="354" ht="29.25" customHeight="1" x14ac:dyDescent="0.25"/>
    <row r="355" ht="29.25" customHeight="1" x14ac:dyDescent="0.25"/>
    <row r="356" ht="15" customHeight="1" x14ac:dyDescent="0.25"/>
    <row r="357" ht="29.25" customHeight="1" x14ac:dyDescent="0.25"/>
    <row r="358" ht="29.25" customHeight="1" x14ac:dyDescent="0.25"/>
    <row r="359" ht="29.25" customHeight="1" x14ac:dyDescent="0.25"/>
    <row r="364" ht="30" customHeight="1" x14ac:dyDescent="0.25"/>
    <row r="365" ht="30" customHeight="1" x14ac:dyDescent="0.25"/>
    <row r="366" ht="30" customHeight="1" x14ac:dyDescent="0.25"/>
    <row r="371" ht="29.25" customHeight="1" x14ac:dyDescent="0.25"/>
    <row r="372" ht="29.25" customHeight="1" x14ac:dyDescent="0.25"/>
    <row r="373" ht="29.25" customHeight="1" x14ac:dyDescent="0.25"/>
    <row r="378" ht="30" customHeight="1" x14ac:dyDescent="0.25"/>
    <row r="379" ht="30" customHeight="1" x14ac:dyDescent="0.25"/>
    <row r="380" ht="30" customHeight="1" x14ac:dyDescent="0.25"/>
    <row r="385" ht="30" customHeight="1" x14ac:dyDescent="0.25"/>
    <row r="386" ht="30" customHeight="1" x14ac:dyDescent="0.25"/>
    <row r="387" ht="30" customHeight="1" x14ac:dyDescent="0.25"/>
    <row r="388" ht="15" customHeight="1" x14ac:dyDescent="0.25"/>
    <row r="392" ht="30" customHeight="1" x14ac:dyDescent="0.25"/>
    <row r="393" ht="30" customHeight="1" x14ac:dyDescent="0.25"/>
    <row r="394" ht="30" customHeight="1" x14ac:dyDescent="0.25"/>
    <row r="400" ht="30" customHeight="1" x14ac:dyDescent="0.25"/>
    <row r="401" ht="30" customHeight="1" x14ac:dyDescent="0.25"/>
    <row r="402" ht="30" customHeight="1" x14ac:dyDescent="0.25"/>
    <row r="407" ht="30.75" customHeight="1" x14ac:dyDescent="0.25"/>
    <row r="408" ht="27.75" customHeight="1" x14ac:dyDescent="0.25"/>
    <row r="409" ht="29.25" customHeight="1" x14ac:dyDescent="0.25"/>
  </sheetData>
  <mergeCells count="22">
    <mergeCell ref="A132:A134"/>
    <mergeCell ref="A1:F6"/>
    <mergeCell ref="A7:F7"/>
    <mergeCell ref="G1:G7"/>
    <mergeCell ref="A125:A127"/>
    <mergeCell ref="A118:A120"/>
    <mergeCell ref="A111:A113"/>
    <mergeCell ref="A104:A106"/>
    <mergeCell ref="A76:A78"/>
    <mergeCell ref="A69:A71"/>
    <mergeCell ref="A62:A64"/>
    <mergeCell ref="A55:A57"/>
    <mergeCell ref="A83:A85"/>
    <mergeCell ref="A90:A92"/>
    <mergeCell ref="A97:A99"/>
    <mergeCell ref="B9:G9"/>
    <mergeCell ref="A48:A50"/>
    <mergeCell ref="A41:A43"/>
    <mergeCell ref="A34:A36"/>
    <mergeCell ref="A27:A29"/>
    <mergeCell ref="A14:A17"/>
    <mergeCell ref="A22:A23"/>
  </mergeCells>
  <dataValidations count="1">
    <dataValidation type="list" allowBlank="1" showInputMessage="1" showErrorMessage="1" sqref="B11">
      <formula1>$B$11:$B$13</formula1>
    </dataValidation>
  </dataValidation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>
    <oddHeader>&amp;F</oddHeader>
    <oddFooter>&amp;CDiamond VPN/FW - VPN;Страница  &amp;P из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K398"/>
  <sheetViews>
    <sheetView showGridLines="0" showRowColHeaders="0" zoomScale="70" zoomScaleNormal="70" workbookViewId="0">
      <pane xSplit="7" ySplit="8" topLeftCell="H138" activePane="bottomRight" state="frozen"/>
      <selection pane="topRight" activeCell="H1" sqref="H1"/>
      <selection pane="bottomLeft" activeCell="A9" sqref="A9"/>
      <selection pane="bottomRight" activeCell="E112" sqref="E112"/>
    </sheetView>
  </sheetViews>
  <sheetFormatPr defaultRowHeight="15" outlineLevelRow="1" x14ac:dyDescent="0.25"/>
  <cols>
    <col min="1" max="1" width="5" customWidth="1"/>
    <col min="2" max="2" width="100.7109375" customWidth="1"/>
    <col min="3" max="3" width="12" customWidth="1"/>
    <col min="4" max="5" width="15.7109375" customWidth="1"/>
    <col min="6" max="6" width="11.42578125" customWidth="1"/>
    <col min="7" max="7" width="79.7109375" customWidth="1"/>
    <col min="8" max="8" width="16" customWidth="1"/>
    <col min="9" max="9" width="14" customWidth="1"/>
    <col min="10" max="10" width="57.5703125" customWidth="1"/>
  </cols>
  <sheetData>
    <row r="1" spans="1:11" ht="15.75" customHeight="1" x14ac:dyDescent="0.25">
      <c r="A1" s="451" t="s">
        <v>1681</v>
      </c>
      <c r="B1" s="451"/>
      <c r="C1" s="451"/>
      <c r="D1" s="451"/>
      <c r="E1" s="451"/>
      <c r="F1" s="452"/>
      <c r="G1" s="449" t="s">
        <v>40</v>
      </c>
      <c r="H1" s="189" t="s">
        <v>1026</v>
      </c>
      <c r="K1" s="189" t="s">
        <v>1024</v>
      </c>
    </row>
    <row r="2" spans="1:11" ht="15.75" customHeight="1" x14ac:dyDescent="0.25">
      <c r="A2" s="451"/>
      <c r="B2" s="451"/>
      <c r="C2" s="451"/>
      <c r="D2" s="451"/>
      <c r="E2" s="451"/>
      <c r="F2" s="452"/>
      <c r="G2" s="449"/>
      <c r="H2" s="189" t="s">
        <v>939</v>
      </c>
      <c r="K2" s="189" t="s">
        <v>939</v>
      </c>
    </row>
    <row r="3" spans="1:11" ht="15" customHeight="1" x14ac:dyDescent="0.25">
      <c r="A3" s="451"/>
      <c r="B3" s="451"/>
      <c r="C3" s="451"/>
      <c r="D3" s="451"/>
      <c r="E3" s="451"/>
      <c r="F3" s="452"/>
      <c r="G3" s="449"/>
      <c r="H3" s="191" t="s">
        <v>1027</v>
      </c>
      <c r="K3" s="191" t="s">
        <v>1021</v>
      </c>
    </row>
    <row r="4" spans="1:11" ht="15" customHeight="1" x14ac:dyDescent="0.25">
      <c r="A4" s="451"/>
      <c r="B4" s="451"/>
      <c r="C4" s="451"/>
      <c r="D4" s="451"/>
      <c r="E4" s="451"/>
      <c r="F4" s="452"/>
      <c r="G4" s="449"/>
      <c r="H4" s="189" t="s">
        <v>1028</v>
      </c>
      <c r="K4" s="189" t="s">
        <v>1022</v>
      </c>
    </row>
    <row r="5" spans="1:11" ht="15" customHeight="1" x14ac:dyDescent="0.25">
      <c r="A5" s="451"/>
      <c r="B5" s="451"/>
      <c r="C5" s="451"/>
      <c r="D5" s="451"/>
      <c r="E5" s="451"/>
      <c r="F5" s="452"/>
      <c r="G5" s="449"/>
      <c r="H5" s="189" t="s">
        <v>1117</v>
      </c>
      <c r="K5" s="189" t="s">
        <v>1117</v>
      </c>
    </row>
    <row r="6" spans="1:11" ht="23.25" customHeight="1" x14ac:dyDescent="0.25">
      <c r="A6" s="451"/>
      <c r="B6" s="451"/>
      <c r="C6" s="451"/>
      <c r="D6" s="451"/>
      <c r="E6" s="451"/>
      <c r="F6" s="452"/>
      <c r="G6" s="449"/>
      <c r="H6" s="189" t="s">
        <v>1118</v>
      </c>
      <c r="K6" s="189" t="s">
        <v>1118</v>
      </c>
    </row>
    <row r="7" spans="1:11" ht="15.75" customHeight="1" thickBot="1" x14ac:dyDescent="0.3">
      <c r="A7" s="453" t="str">
        <f>'Diamond ACS'!A7:G7</f>
        <v>Срок действия: с 01.01.21</v>
      </c>
      <c r="B7" s="453"/>
      <c r="C7" s="453"/>
      <c r="D7" s="453"/>
      <c r="E7" s="453"/>
      <c r="F7" s="454"/>
      <c r="G7" s="450"/>
      <c r="H7" s="189" t="s">
        <v>1119</v>
      </c>
      <c r="K7" s="189" t="s">
        <v>1119</v>
      </c>
    </row>
    <row r="8" spans="1:11" ht="26.25" thickBot="1" x14ac:dyDescent="0.3">
      <c r="A8" s="74" t="s">
        <v>13</v>
      </c>
      <c r="B8" s="27" t="s">
        <v>0</v>
      </c>
      <c r="C8" s="28" t="s">
        <v>1</v>
      </c>
      <c r="D8" s="28" t="s">
        <v>765</v>
      </c>
      <c r="E8" s="28" t="s">
        <v>767</v>
      </c>
      <c r="F8" s="28" t="s">
        <v>3</v>
      </c>
      <c r="G8" s="30" t="s">
        <v>828</v>
      </c>
      <c r="H8" s="189" t="s">
        <v>1120</v>
      </c>
    </row>
    <row r="9" spans="1:11" ht="39" customHeight="1" thickBot="1" x14ac:dyDescent="0.3">
      <c r="A9" s="77"/>
      <c r="B9" s="455" t="s">
        <v>1499</v>
      </c>
      <c r="C9" s="444"/>
      <c r="D9" s="444"/>
      <c r="E9" s="444"/>
      <c r="F9" s="444"/>
      <c r="G9" s="445"/>
      <c r="H9" s="189" t="s">
        <v>1121</v>
      </c>
    </row>
    <row r="10" spans="1:11" ht="63.75" x14ac:dyDescent="0.25">
      <c r="A10" s="355" t="s">
        <v>45</v>
      </c>
      <c r="B10" s="42" t="s">
        <v>1735</v>
      </c>
      <c r="C10" s="43" t="s">
        <v>213</v>
      </c>
      <c r="D10" s="121">
        <f>ROUNDUP(8960*1.04,0)-4000</f>
        <v>5319</v>
      </c>
      <c r="E10" s="122">
        <f>ROUNDUP(D10*0.85,0)</f>
        <v>4522</v>
      </c>
      <c r="F10" s="44" t="s">
        <v>4</v>
      </c>
      <c r="G10" s="46" t="s">
        <v>1172</v>
      </c>
      <c r="H10" s="189" t="s">
        <v>1122</v>
      </c>
    </row>
    <row r="11" spans="1:11" ht="25.5" outlineLevel="1" x14ac:dyDescent="0.25">
      <c r="A11" s="224" t="s">
        <v>46</v>
      </c>
      <c r="B11" s="31" t="str">
        <f>CONCATENATE(K1,K25)</f>
        <v>Сертификат активации сервиса прямой технической поддержки уровня "Стандартный" на 1 год для: «Клиент многофункционального комплекса сетевой защиты «Diamond VPN/FW». Версия FW уровня узла»</v>
      </c>
      <c r="C11" s="5" t="s">
        <v>278</v>
      </c>
      <c r="D11" s="120">
        <f>ROUNDUP(D10*0.2,0)</f>
        <v>1064</v>
      </c>
      <c r="E11" s="120">
        <f>ROUNDUP(E10*0.2,0)</f>
        <v>905</v>
      </c>
      <c r="F11" s="107">
        <v>0.2</v>
      </c>
      <c r="G11" s="4"/>
      <c r="H11" s="189" t="s">
        <v>1123</v>
      </c>
    </row>
    <row r="12" spans="1:11" ht="25.5" outlineLevel="1" x14ac:dyDescent="0.25">
      <c r="A12" s="224" t="s">
        <v>55</v>
      </c>
      <c r="B12" s="31" t="str">
        <f>CONCATENATE(K3,K25)</f>
        <v>Сертификат активации сервиса прямой технической поддержки уровня "Стандартный" на 3 года для: «Клиент многофункционального комплекса сетевой защиты «Diamond VPN/FW». Версия FW уровня узла»</v>
      </c>
      <c r="C12" s="5" t="s">
        <v>584</v>
      </c>
      <c r="D12" s="118">
        <f>ROUNDUP(D11*0.97*3,0)</f>
        <v>3097</v>
      </c>
      <c r="E12" s="118">
        <f>ROUNDUP(E11*0.97*3,0)</f>
        <v>2634</v>
      </c>
      <c r="F12" s="107">
        <v>0.2</v>
      </c>
      <c r="G12" s="23"/>
      <c r="H12" s="189" t="s">
        <v>1124</v>
      </c>
    </row>
    <row r="13" spans="1:11" ht="26.25" outlineLevel="1" thickBot="1" x14ac:dyDescent="0.3">
      <c r="A13" s="225" t="s">
        <v>528</v>
      </c>
      <c r="B13" s="166" t="str">
        <f>CONCATENATE(K4,K25)</f>
        <v>Сертификат активации сервиса прямой технической поддержки уровня "Стандартный" на 5 лет для: «Клиент многофункционального комплекса сетевой защиты «Diamond VPN/FW». Версия FW уровня узла»</v>
      </c>
      <c r="C13" s="54" t="s">
        <v>585</v>
      </c>
      <c r="D13" s="123">
        <f>ROUNDUP(D11*0.95*5,0)</f>
        <v>5054</v>
      </c>
      <c r="E13" s="123">
        <f>ROUNDUP(E11*0.95*5,0)</f>
        <v>4299</v>
      </c>
      <c r="F13" s="60">
        <v>0.2</v>
      </c>
      <c r="G13" s="14"/>
      <c r="H13" s="189" t="s">
        <v>1125</v>
      </c>
    </row>
    <row r="14" spans="1:11" ht="25.5" x14ac:dyDescent="0.25">
      <c r="A14" s="447" t="s">
        <v>56</v>
      </c>
      <c r="B14" s="58" t="s">
        <v>1534</v>
      </c>
      <c r="C14" s="49"/>
      <c r="D14" s="124"/>
      <c r="E14" s="125"/>
      <c r="F14" s="51"/>
      <c r="G14" s="59"/>
      <c r="H14" s="189" t="s">
        <v>1126</v>
      </c>
    </row>
    <row r="15" spans="1:11" outlineLevel="1" x14ac:dyDescent="0.25">
      <c r="A15" s="447"/>
      <c r="B15" s="42" t="s">
        <v>1103</v>
      </c>
      <c r="C15" s="43" t="str">
        <f>'[2]Diamond VPN FW - UTM'!C15</f>
        <v>BF-2-022</v>
      </c>
      <c r="D15" s="121">
        <f>'Diamond VPN FW - UTM'!D15</f>
        <v>35775</v>
      </c>
      <c r="E15" s="122">
        <f>ROUNDUP(D15*0.95,0)</f>
        <v>33987</v>
      </c>
      <c r="F15" s="45">
        <v>0.2</v>
      </c>
      <c r="G15" s="46" t="str">
        <f>'Diamond VPN FW - UTM'!G15</f>
        <v>3 x RJ45 GbE. 1 x USB 3.0, 1 x USB 2.0. Настольное исполнение</v>
      </c>
      <c r="H15" s="189" t="s">
        <v>1127</v>
      </c>
    </row>
    <row r="16" spans="1:11" ht="63.75" outlineLevel="1" x14ac:dyDescent="0.25">
      <c r="A16" s="448"/>
      <c r="B16" s="42" t="s">
        <v>1130</v>
      </c>
      <c r="C16" s="43" t="s">
        <v>215</v>
      </c>
      <c r="D16" s="121">
        <f>ROUNDUP(38240-1656,0)</f>
        <v>36584</v>
      </c>
      <c r="E16" s="122">
        <f>ROUNDUP(D16*0.85,0)</f>
        <v>31097</v>
      </c>
      <c r="F16" s="44" t="s">
        <v>4</v>
      </c>
      <c r="G16" s="46" t="s">
        <v>1551</v>
      </c>
      <c r="H16" s="189" t="s">
        <v>1128</v>
      </c>
    </row>
    <row r="17" spans="1:11" ht="63.75" outlineLevel="1" collapsed="1" x14ac:dyDescent="0.25">
      <c r="A17" s="217" t="s">
        <v>96</v>
      </c>
      <c r="B17" s="22" t="s">
        <v>1143</v>
      </c>
      <c r="C17" s="21" t="s">
        <v>214</v>
      </c>
      <c r="D17" s="118">
        <f>ROUNDUP(D15+(D16*1.2),0)</f>
        <v>79676</v>
      </c>
      <c r="E17" s="118">
        <f>ROUNDUP(E15+(E16*1.2),0)</f>
        <v>71304</v>
      </c>
      <c r="F17" s="24">
        <v>0.2</v>
      </c>
      <c r="G17" s="91" t="s">
        <v>1550</v>
      </c>
      <c r="H17" s="189" t="s">
        <v>1129</v>
      </c>
    </row>
    <row r="18" spans="1:11" ht="38.25" outlineLevel="1" x14ac:dyDescent="0.25">
      <c r="A18" s="218" t="s">
        <v>97</v>
      </c>
      <c r="B18" s="31" t="str">
        <f>CONCATENATE(H1,H5)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- 1101. Версия FW уровня сети, уровня логических границ сети»</v>
      </c>
      <c r="C18" s="5" t="s">
        <v>279</v>
      </c>
      <c r="D18" s="120">
        <f>ROUNDUP((D15+D16)*0.2,0)</f>
        <v>14472</v>
      </c>
      <c r="E18" s="120">
        <f>ROUNDUP((E15+E16)*0.2,0)</f>
        <v>13017</v>
      </c>
      <c r="F18" s="107">
        <v>0.2</v>
      </c>
      <c r="G18" s="92"/>
      <c r="H18" s="189" t="s">
        <v>1019</v>
      </c>
    </row>
    <row r="19" spans="1:11" ht="38.25" outlineLevel="1" x14ac:dyDescent="0.25">
      <c r="A19" s="218" t="s">
        <v>475</v>
      </c>
      <c r="B19" s="22" t="str">
        <f>CONCATENATE(H3,H5)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- 1101. Версия FW уровня сети, уровня логических границ сети»</v>
      </c>
      <c r="C19" s="5" t="s">
        <v>586</v>
      </c>
      <c r="D19" s="118">
        <f>ROUNDUP(D18*0.97*3,0)</f>
        <v>42114</v>
      </c>
      <c r="E19" s="118">
        <f>ROUNDUP(E18*0.97*3,0)</f>
        <v>37880</v>
      </c>
      <c r="F19" s="107">
        <v>0.2</v>
      </c>
      <c r="G19" s="91"/>
    </row>
    <row r="20" spans="1:11" ht="39" outlineLevel="1" thickBot="1" x14ac:dyDescent="0.3">
      <c r="A20" s="219" t="s">
        <v>476</v>
      </c>
      <c r="B20" s="166" t="str">
        <f>CONCATENATE(H4,H5)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- 1101. Версия FW уровня сети, уровня логических границ сети»</v>
      </c>
      <c r="C20" s="54" t="s">
        <v>587</v>
      </c>
      <c r="D20" s="123">
        <f>ROUNDUP(D18*0.95*5,0)</f>
        <v>68742</v>
      </c>
      <c r="E20" s="123">
        <f>ROUNDUP(E18*0.95*5,0)</f>
        <v>61831</v>
      </c>
      <c r="F20" s="60">
        <v>0.2</v>
      </c>
      <c r="G20" s="55"/>
    </row>
    <row r="21" spans="1:11" ht="25.5" x14ac:dyDescent="0.25">
      <c r="A21" s="447" t="s">
        <v>57</v>
      </c>
      <c r="B21" s="58" t="s">
        <v>1535</v>
      </c>
      <c r="C21" s="49"/>
      <c r="D21" s="124"/>
      <c r="E21" s="125"/>
      <c r="F21" s="51"/>
      <c r="G21" s="53"/>
    </row>
    <row r="22" spans="1:11" ht="25.5" outlineLevel="1" x14ac:dyDescent="0.25">
      <c r="A22" s="447"/>
      <c r="B22" s="42" t="s">
        <v>1104</v>
      </c>
      <c r="C22" s="43" t="str">
        <f>'[2]Diamond VPN FW - UTM'!C22</f>
        <v>BF-2-025</v>
      </c>
      <c r="D22" s="121">
        <f>'Diamond VPN FW - UTM'!D22</f>
        <v>58913</v>
      </c>
      <c r="E22" s="122">
        <f>ROUNDUP(D22*0.95,0)</f>
        <v>55968</v>
      </c>
      <c r="F22" s="45">
        <v>0.2</v>
      </c>
      <c r="G22" s="47" t="str">
        <f>'Diamond VPN FW - UTM'!G22</f>
        <v>4 x RJ45 GbE. 2 x USB 2.0. Настольное исполнение. Уголки для крепления в стойку продаются отдельно.</v>
      </c>
      <c r="H22" s="189" t="s">
        <v>1547</v>
      </c>
    </row>
    <row r="23" spans="1:11" ht="63.75" outlineLevel="1" x14ac:dyDescent="0.25">
      <c r="A23" s="448"/>
      <c r="B23" s="42" t="s">
        <v>1131</v>
      </c>
      <c r="C23" s="43" t="s">
        <v>217</v>
      </c>
      <c r="D23" s="121">
        <f>ROUNDUP(('Diamond VPN FW - UTM'!D23+35600)*0.4,0)</f>
        <v>73715</v>
      </c>
      <c r="E23" s="122">
        <f>ROUNDUP(D23*0.85,0)</f>
        <v>62658</v>
      </c>
      <c r="F23" s="44" t="s">
        <v>4</v>
      </c>
      <c r="G23" s="46" t="s">
        <v>1551</v>
      </c>
      <c r="H23" s="189" t="s">
        <v>1548</v>
      </c>
    </row>
    <row r="24" spans="1:11" ht="63.75" outlineLevel="1" x14ac:dyDescent="0.25">
      <c r="A24" s="220" t="s">
        <v>58</v>
      </c>
      <c r="B24" s="31" t="s">
        <v>1144</v>
      </c>
      <c r="C24" s="21" t="s">
        <v>216</v>
      </c>
      <c r="D24" s="120">
        <f>ROUNDUP(D22+(D23*1.2),0)</f>
        <v>147371</v>
      </c>
      <c r="E24" s="120">
        <f>ROUNDUP(E22+(E23*1.2),0)</f>
        <v>131158</v>
      </c>
      <c r="F24" s="24">
        <v>0.2</v>
      </c>
      <c r="G24" s="91" t="s">
        <v>1550</v>
      </c>
      <c r="H24" s="189" t="s">
        <v>1549</v>
      </c>
    </row>
    <row r="25" spans="1:11" ht="38.25" outlineLevel="1" x14ac:dyDescent="0.25">
      <c r="A25" s="218" t="s">
        <v>59</v>
      </c>
      <c r="B25" s="31" t="str">
        <f>CONCATENATE(H1,H6)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- 2111. Версия FW уровня сети, уровня логических границ сети»</v>
      </c>
      <c r="C25" s="5" t="s">
        <v>280</v>
      </c>
      <c r="D25" s="120">
        <f>ROUNDUP((D22+D23)*0.2,0)</f>
        <v>26526</v>
      </c>
      <c r="E25" s="120">
        <f>ROUNDUP((E22+E23)*0.2,0)</f>
        <v>23726</v>
      </c>
      <c r="F25" s="107">
        <v>0.2</v>
      </c>
      <c r="G25" s="4"/>
      <c r="K25" s="189" t="s">
        <v>1734</v>
      </c>
    </row>
    <row r="26" spans="1:11" ht="38.25" outlineLevel="1" x14ac:dyDescent="0.25">
      <c r="A26" s="218" t="s">
        <v>477</v>
      </c>
      <c r="B26" s="22" t="str">
        <f>CONCATENATE(H3,H6)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- 2111. Версия FW уровня сети, уровня логических границ сети»</v>
      </c>
      <c r="C26" s="5" t="s">
        <v>588</v>
      </c>
      <c r="D26" s="118">
        <f>ROUNDUP(D25*0.97*3,0)</f>
        <v>77191</v>
      </c>
      <c r="E26" s="118">
        <f>ROUNDUP(E25*0.97*3,0)</f>
        <v>69043</v>
      </c>
      <c r="F26" s="107">
        <v>0.2</v>
      </c>
      <c r="G26" s="23"/>
    </row>
    <row r="27" spans="1:11" ht="39" outlineLevel="1" thickBot="1" x14ac:dyDescent="0.3">
      <c r="A27" s="219" t="s">
        <v>478</v>
      </c>
      <c r="B27" s="166" t="str">
        <f>CONCATENATE(H4,H6)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- 2111. Версия FW уровня сети, уровня логических границ сети»</v>
      </c>
      <c r="C27" s="54" t="s">
        <v>589</v>
      </c>
      <c r="D27" s="123">
        <f>ROUNDUP(D25*0.95*5,0)</f>
        <v>125999</v>
      </c>
      <c r="E27" s="123">
        <f>ROUNDUP(E25*0.95*5,0)</f>
        <v>112699</v>
      </c>
      <c r="F27" s="60">
        <v>0.2</v>
      </c>
      <c r="G27" s="14"/>
    </row>
    <row r="28" spans="1:11" ht="25.5" x14ac:dyDescent="0.25">
      <c r="A28" s="447" t="s">
        <v>60</v>
      </c>
      <c r="B28" s="58" t="s">
        <v>1536</v>
      </c>
      <c r="C28" s="49"/>
      <c r="D28" s="124"/>
      <c r="E28" s="125"/>
      <c r="F28" s="51"/>
      <c r="G28" s="53"/>
    </row>
    <row r="29" spans="1:11" ht="25.5" outlineLevel="1" x14ac:dyDescent="0.25">
      <c r="A29" s="447"/>
      <c r="B29" s="42" t="s">
        <v>1105</v>
      </c>
      <c r="C29" s="43" t="str">
        <f>'[2]Diamond VPN FW - UTM'!C29</f>
        <v>BF-2-028</v>
      </c>
      <c r="D29" s="121">
        <f>'Diamond VPN FW - UTM'!D29</f>
        <v>88875</v>
      </c>
      <c r="E29" s="122">
        <f>ROUNDUP(D29*0.95,0)</f>
        <v>84432</v>
      </c>
      <c r="F29" s="45">
        <v>0.2</v>
      </c>
      <c r="G29" s="47" t="str">
        <f>'Diamond VPN FW - UTM'!G29</f>
        <v>6 x RJ45 GbE. 2 x USB 2.0. Установка в стойку 1U. Только одиночный БП. Без мест для модулей расширения. Уголки для крепления в стойку входят в комплект.</v>
      </c>
    </row>
    <row r="30" spans="1:11" ht="63.75" outlineLevel="1" x14ac:dyDescent="0.25">
      <c r="A30" s="448"/>
      <c r="B30" s="42" t="s">
        <v>1132</v>
      </c>
      <c r="C30" s="43" t="s">
        <v>219</v>
      </c>
      <c r="D30" s="121">
        <f>ROUNDUP(76450-4115,0)</f>
        <v>72335</v>
      </c>
      <c r="E30" s="122">
        <f>ROUNDUP(D30*0.85,0)</f>
        <v>61485</v>
      </c>
      <c r="F30" s="44" t="s">
        <v>4</v>
      </c>
      <c r="G30" s="46" t="s">
        <v>1553</v>
      </c>
    </row>
    <row r="31" spans="1:11" ht="63.75" outlineLevel="1" x14ac:dyDescent="0.25">
      <c r="A31" s="220" t="s">
        <v>61</v>
      </c>
      <c r="B31" s="31" t="s">
        <v>1145</v>
      </c>
      <c r="C31" s="21" t="s">
        <v>218</v>
      </c>
      <c r="D31" s="120">
        <f>ROUNDUP(D29+(D30*1.2),0)</f>
        <v>175677</v>
      </c>
      <c r="E31" s="120">
        <f>ROUNDUP(E29+(E30*1.2),0)</f>
        <v>158214</v>
      </c>
      <c r="F31" s="24">
        <v>0.2</v>
      </c>
      <c r="G31" s="91" t="s">
        <v>1552</v>
      </c>
    </row>
    <row r="32" spans="1:11" ht="38.25" outlineLevel="1" x14ac:dyDescent="0.25">
      <c r="A32" s="218" t="s">
        <v>62</v>
      </c>
      <c r="B32" s="31" t="str">
        <f>CONCATENATE(H1,H7)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- 3101. Версия FW уровня сети, уровня логических границ сети»</v>
      </c>
      <c r="C32" s="5" t="s">
        <v>281</v>
      </c>
      <c r="D32" s="120">
        <f>ROUNDUP((D29+D30)*0.2,0)</f>
        <v>32242</v>
      </c>
      <c r="E32" s="120">
        <f>ROUNDUP((E29+E30)*0.2,0)</f>
        <v>29184</v>
      </c>
      <c r="F32" s="107">
        <v>0.2</v>
      </c>
      <c r="G32" s="4"/>
    </row>
    <row r="33" spans="1:7" ht="38.25" outlineLevel="1" x14ac:dyDescent="0.25">
      <c r="A33" s="218" t="s">
        <v>503</v>
      </c>
      <c r="B33" s="22" t="str">
        <f>CONCATENATE(H3,H7)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- 3101. Версия FW уровня сети, уровня логических границ сети»</v>
      </c>
      <c r="C33" s="5" t="s">
        <v>590</v>
      </c>
      <c r="D33" s="118">
        <f>ROUNDUP(D32*0.97*3,0)</f>
        <v>93825</v>
      </c>
      <c r="E33" s="118">
        <f>ROUNDUP(E32*0.97*3,0)</f>
        <v>84926</v>
      </c>
      <c r="F33" s="107">
        <v>0.2</v>
      </c>
      <c r="G33" s="23"/>
    </row>
    <row r="34" spans="1:7" ht="39" outlineLevel="1" thickBot="1" x14ac:dyDescent="0.3">
      <c r="A34" s="219" t="s">
        <v>504</v>
      </c>
      <c r="B34" s="166" t="str">
        <f>CONCATENATE(H4,H7)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- 3101. Версия FW уровня сети, уровня логических границ сети»</v>
      </c>
      <c r="C34" s="54" t="s">
        <v>591</v>
      </c>
      <c r="D34" s="123">
        <f>ROUNDUP(D32*0.95*5,0)</f>
        <v>153150</v>
      </c>
      <c r="E34" s="123">
        <f>ROUNDUP(E32*0.95*5,0)</f>
        <v>138624</v>
      </c>
      <c r="F34" s="60">
        <v>0.2</v>
      </c>
      <c r="G34" s="14"/>
    </row>
    <row r="35" spans="1:7" ht="25.5" x14ac:dyDescent="0.25">
      <c r="A35" s="447" t="s">
        <v>63</v>
      </c>
      <c r="B35" s="58" t="s">
        <v>1537</v>
      </c>
      <c r="C35" s="49"/>
      <c r="D35" s="124"/>
      <c r="E35" s="125"/>
      <c r="F35" s="51"/>
      <c r="G35" s="53"/>
    </row>
    <row r="36" spans="1:7" ht="25.5" outlineLevel="1" x14ac:dyDescent="0.25">
      <c r="A36" s="447"/>
      <c r="B36" s="42" t="s">
        <v>1106</v>
      </c>
      <c r="C36" s="43" t="str">
        <f>'[2]Diamond VPN FW - UTM'!C36</f>
        <v>BF-2-031</v>
      </c>
      <c r="D36" s="121">
        <f>'Diamond VPN FW - UTM'!D36</f>
        <v>114750</v>
      </c>
      <c r="E36" s="122">
        <f>ROUNDUP(D36*0.95,0)</f>
        <v>109013</v>
      </c>
      <c r="F36" s="45">
        <v>0.2</v>
      </c>
      <c r="G36" s="47" t="str">
        <f>'Diamond VPN FW - UTM'!G36</f>
        <v>6 x RJ45 GbE. 2 x USB 2.0. Установка в стойку 1U. Только одиночный БП. 1 место для модулей расширения. Уголки для крепления в стойку входят в комплект.</v>
      </c>
    </row>
    <row r="37" spans="1:7" ht="63.75" outlineLevel="1" x14ac:dyDescent="0.25">
      <c r="A37" s="448"/>
      <c r="B37" s="42" t="s">
        <v>1133</v>
      </c>
      <c r="C37" s="43" t="s">
        <v>221</v>
      </c>
      <c r="D37" s="121">
        <f>ROUNDUP(104924-14301,0)</f>
        <v>90623</v>
      </c>
      <c r="E37" s="122">
        <f>ROUNDUP(D37*0.85,0)</f>
        <v>77030</v>
      </c>
      <c r="F37" s="44" t="s">
        <v>4</v>
      </c>
      <c r="G37" s="46" t="s">
        <v>1554</v>
      </c>
    </row>
    <row r="38" spans="1:7" ht="63.75" outlineLevel="1" x14ac:dyDescent="0.25">
      <c r="A38" s="220" t="s">
        <v>64</v>
      </c>
      <c r="B38" s="106" t="s">
        <v>1146</v>
      </c>
      <c r="C38" s="21" t="s">
        <v>220</v>
      </c>
      <c r="D38" s="120">
        <f>ROUNDUP(D36+(D37*1.2),0)</f>
        <v>223498</v>
      </c>
      <c r="E38" s="120">
        <f>ROUNDUP(E36+(E37*1.2),0)</f>
        <v>201449</v>
      </c>
      <c r="F38" s="24">
        <v>0.2</v>
      </c>
      <c r="G38" s="91" t="s">
        <v>1555</v>
      </c>
    </row>
    <row r="39" spans="1:7" ht="38.25" outlineLevel="1" x14ac:dyDescent="0.25">
      <c r="A39" s="218" t="s">
        <v>65</v>
      </c>
      <c r="B39" s="31" t="str">
        <f>CONCATENATE(H1,H8)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- 4101. Версия FW уровня сети, уровня логических границ сети»</v>
      </c>
      <c r="C39" s="5" t="s">
        <v>282</v>
      </c>
      <c r="D39" s="120">
        <f>ROUNDUP((D36+D37)*0.2,0)</f>
        <v>41075</v>
      </c>
      <c r="E39" s="120">
        <f>ROUNDUP((E36+E37)*0.2,0)</f>
        <v>37209</v>
      </c>
      <c r="F39" s="107">
        <v>0.2</v>
      </c>
      <c r="G39" s="4"/>
    </row>
    <row r="40" spans="1:7" ht="38.25" outlineLevel="1" x14ac:dyDescent="0.25">
      <c r="A40" s="218" t="s">
        <v>505</v>
      </c>
      <c r="B40" s="22" t="str">
        <f>CONCATENATE(H3,H8)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- 4101. Версия FW уровня сети, уровня логических границ сети»</v>
      </c>
      <c r="C40" s="5" t="s">
        <v>592</v>
      </c>
      <c r="D40" s="118">
        <f>ROUNDUP(D39*0.97*3,0)</f>
        <v>119529</v>
      </c>
      <c r="E40" s="118">
        <f>ROUNDUP(E39*0.97*3,0)</f>
        <v>108279</v>
      </c>
      <c r="F40" s="107">
        <v>0.2</v>
      </c>
      <c r="G40" s="23"/>
    </row>
    <row r="41" spans="1:7" ht="39" outlineLevel="1" thickBot="1" x14ac:dyDescent="0.3">
      <c r="A41" s="219" t="s">
        <v>506</v>
      </c>
      <c r="B41" s="166" t="str">
        <f>CONCATENATE(H4,H8)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- 4101. Версия FW уровня сети, уровня логических границ сети»</v>
      </c>
      <c r="C41" s="54" t="s">
        <v>593</v>
      </c>
      <c r="D41" s="123">
        <f>ROUNDUP(D39*0.95*5,0)</f>
        <v>195107</v>
      </c>
      <c r="E41" s="123">
        <f>ROUNDUP(E39*0.95*5,0)</f>
        <v>176743</v>
      </c>
      <c r="F41" s="60">
        <v>0.2</v>
      </c>
      <c r="G41" s="14"/>
    </row>
    <row r="42" spans="1:7" ht="25.5" x14ac:dyDescent="0.25">
      <c r="A42" s="447" t="s">
        <v>66</v>
      </c>
      <c r="B42" s="58" t="s">
        <v>1538</v>
      </c>
      <c r="C42" s="49"/>
      <c r="D42" s="124"/>
      <c r="E42" s="125"/>
      <c r="F42" s="51"/>
      <c r="G42" s="53"/>
    </row>
    <row r="43" spans="1:7" ht="25.5" outlineLevel="1" x14ac:dyDescent="0.25">
      <c r="A43" s="447"/>
      <c r="B43" s="42" t="s">
        <v>1107</v>
      </c>
      <c r="C43" s="43" t="str">
        <f>'[2]Diamond VPN FW - UTM'!C43</f>
        <v>BF-2-035</v>
      </c>
      <c r="D43" s="121">
        <f>'Diamond VPN FW - UTM'!D43</f>
        <v>154125</v>
      </c>
      <c r="E43" s="122">
        <f>ROUNDUP(D43*0.95,0)</f>
        <v>146419</v>
      </c>
      <c r="F43" s="45">
        <v>0.2</v>
      </c>
      <c r="G43" s="47" t="str">
        <f>'Diamond VPN FW - UTM'!G43</f>
        <v>6 x RJ45 GbE. 2 x USB 2.0.Bypass. Установка в стойку 1U. Только одиночный БП. 1 место для модулей расширения.Уголки для крепления в стойку входят в комплект.</v>
      </c>
    </row>
    <row r="44" spans="1:7" ht="63.75" outlineLevel="1" x14ac:dyDescent="0.25">
      <c r="A44" s="448"/>
      <c r="B44" s="42" t="s">
        <v>1134</v>
      </c>
      <c r="C44" s="43" t="s">
        <v>223</v>
      </c>
      <c r="D44" s="121">
        <f>ROUNDUP(150950-8694,0)</f>
        <v>142256</v>
      </c>
      <c r="E44" s="122">
        <f>ROUNDUP(D44*0.85,0)</f>
        <v>120918</v>
      </c>
      <c r="F44" s="44" t="s">
        <v>4</v>
      </c>
      <c r="G44" s="46" t="s">
        <v>1556</v>
      </c>
    </row>
    <row r="45" spans="1:7" ht="63.75" outlineLevel="1" x14ac:dyDescent="0.25">
      <c r="A45" s="220" t="s">
        <v>67</v>
      </c>
      <c r="B45" s="168" t="s">
        <v>1147</v>
      </c>
      <c r="C45" s="21" t="s">
        <v>222</v>
      </c>
      <c r="D45" s="120">
        <f>ROUNDUP(D43+(D44*1.2),0)</f>
        <v>324833</v>
      </c>
      <c r="E45" s="120">
        <f>ROUNDUP(E43+(E44*1.2),0)</f>
        <v>291521</v>
      </c>
      <c r="F45" s="24">
        <v>0.2</v>
      </c>
      <c r="G45" s="91" t="s">
        <v>1557</v>
      </c>
    </row>
    <row r="46" spans="1:7" ht="38.25" outlineLevel="1" x14ac:dyDescent="0.25">
      <c r="A46" s="218" t="s">
        <v>68</v>
      </c>
      <c r="B46" s="31" t="str">
        <f>CONCATENATE(H1,H9)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- 4105. Версия FW уровня сети, уровня логических границ сети»</v>
      </c>
      <c r="C46" s="5" t="s">
        <v>283</v>
      </c>
      <c r="D46" s="120">
        <f>ROUNDUP((D43+D44)*0.2,0)</f>
        <v>59277</v>
      </c>
      <c r="E46" s="120">
        <f>ROUNDUP((E43+E44)*0.2,0)</f>
        <v>53468</v>
      </c>
      <c r="F46" s="107">
        <v>0.2</v>
      </c>
      <c r="G46" s="4"/>
    </row>
    <row r="47" spans="1:7" ht="38.25" outlineLevel="1" x14ac:dyDescent="0.25">
      <c r="A47" s="218" t="s">
        <v>507</v>
      </c>
      <c r="B47" s="22" t="str">
        <f>CONCATENATE(H3,H9)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- 4105. Версия FW уровня сети, уровня логических границ сети»</v>
      </c>
      <c r="C47" s="5" t="s">
        <v>594</v>
      </c>
      <c r="D47" s="118">
        <f>ROUNDUP(D46*0.97*3,0)</f>
        <v>172497</v>
      </c>
      <c r="E47" s="118">
        <f>ROUNDUP(E46*0.97*3,0)</f>
        <v>155592</v>
      </c>
      <c r="F47" s="107">
        <v>0.2</v>
      </c>
      <c r="G47" s="23"/>
    </row>
    <row r="48" spans="1:7" ht="39" outlineLevel="1" thickBot="1" x14ac:dyDescent="0.3">
      <c r="A48" s="219" t="s">
        <v>508</v>
      </c>
      <c r="B48" s="166" t="str">
        <f>CONCATENATE(H4,H9)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- 4105. Версия FW уровня сети, уровня логических границ сети»</v>
      </c>
      <c r="C48" s="54" t="s">
        <v>595</v>
      </c>
      <c r="D48" s="123">
        <f>ROUNDUP(D46*0.95*5,0)</f>
        <v>281566</v>
      </c>
      <c r="E48" s="123">
        <f>ROUNDUP(E46*0.95*5,0)</f>
        <v>253973</v>
      </c>
      <c r="F48" s="60">
        <v>0.2</v>
      </c>
      <c r="G48" s="14"/>
    </row>
    <row r="49" spans="1:7" ht="25.5" x14ac:dyDescent="0.25">
      <c r="A49" s="447" t="s">
        <v>69</v>
      </c>
      <c r="B49" s="58" t="s">
        <v>1539</v>
      </c>
      <c r="C49" s="49"/>
      <c r="D49" s="124"/>
      <c r="E49" s="125"/>
      <c r="F49" s="51"/>
      <c r="G49" s="53"/>
    </row>
    <row r="50" spans="1:7" ht="25.5" outlineLevel="1" x14ac:dyDescent="0.25">
      <c r="A50" s="447"/>
      <c r="B50" s="42" t="s">
        <v>1108</v>
      </c>
      <c r="C50" s="43" t="str">
        <f>'[2]Diamond VPN FW - UTM'!C50</f>
        <v>BF-2-036</v>
      </c>
      <c r="D50" s="121">
        <f>'Diamond VPN FW - UTM'!D50</f>
        <v>276080</v>
      </c>
      <c r="E50" s="122">
        <f>ROUNDUP(D50*0.95,0)</f>
        <v>262276</v>
      </c>
      <c r="F50" s="45">
        <v>0.2</v>
      </c>
      <c r="G50" s="47" t="str">
        <f>'Diamond VPN FW - UTM'!G50</f>
        <v>8 x RJ45 GbE. Bypass. 2 x USB 3.0. Установка в стойку 1U. 2 блока питания. 2 места для модулей расширения</v>
      </c>
    </row>
    <row r="51" spans="1:7" ht="63.75" outlineLevel="1" x14ac:dyDescent="0.25">
      <c r="A51" s="448"/>
      <c r="B51" s="42" t="s">
        <v>1135</v>
      </c>
      <c r="C51" s="43" t="s">
        <v>225</v>
      </c>
      <c r="D51" s="121">
        <f>ROUNDUP(('Diamond VPN FW - UTM'!D51+35600)*0.4,0)</f>
        <v>198362</v>
      </c>
      <c r="E51" s="122">
        <f>ROUNDUP(D51*0.85,0)</f>
        <v>168608</v>
      </c>
      <c r="F51" s="44" t="s">
        <v>4</v>
      </c>
      <c r="G51" s="46" t="s">
        <v>1558</v>
      </c>
    </row>
    <row r="52" spans="1:7" ht="63.75" outlineLevel="1" x14ac:dyDescent="0.25">
      <c r="A52" s="220" t="s">
        <v>70</v>
      </c>
      <c r="B52" s="106" t="s">
        <v>1148</v>
      </c>
      <c r="C52" s="21" t="s">
        <v>224</v>
      </c>
      <c r="D52" s="120">
        <f>ROUNDUP(D50+(D51*1.2),0)</f>
        <v>514115</v>
      </c>
      <c r="E52" s="120">
        <f>ROUNDUP(E50+(E51*1.2),0)</f>
        <v>464606</v>
      </c>
      <c r="F52" s="24">
        <v>0.2</v>
      </c>
      <c r="G52" s="91" t="s">
        <v>1559</v>
      </c>
    </row>
    <row r="53" spans="1:7" ht="38.25" outlineLevel="1" x14ac:dyDescent="0.25">
      <c r="A53" s="218" t="s">
        <v>71</v>
      </c>
      <c r="B53" s="31" t="str">
        <f>CONCATENATE(H1,H10)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- 5101. Версия FW уровня сети, уровня логических границ сети»</v>
      </c>
      <c r="C53" s="5" t="s">
        <v>284</v>
      </c>
      <c r="D53" s="120">
        <f>ROUNDUP((D50+D51)*0.2,0)</f>
        <v>94889</v>
      </c>
      <c r="E53" s="120">
        <f>ROUNDUP((E50+E51)*0.2,0)</f>
        <v>86177</v>
      </c>
      <c r="F53" s="107">
        <v>0.2</v>
      </c>
      <c r="G53" s="4"/>
    </row>
    <row r="54" spans="1:7" ht="38.25" outlineLevel="1" x14ac:dyDescent="0.25">
      <c r="A54" s="218" t="s">
        <v>509</v>
      </c>
      <c r="B54" s="22" t="str">
        <f>CONCATENATE(H3,H10)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- 5101. Версия FW уровня сети, уровня логических границ сети»</v>
      </c>
      <c r="C54" s="5" t="s">
        <v>596</v>
      </c>
      <c r="D54" s="118">
        <f>ROUNDUP(D53*0.97*3,0)</f>
        <v>276127</v>
      </c>
      <c r="E54" s="118">
        <f>ROUNDUP(E53*0.97*3,0)</f>
        <v>250776</v>
      </c>
      <c r="F54" s="107">
        <v>0.2</v>
      </c>
      <c r="G54" s="23"/>
    </row>
    <row r="55" spans="1:7" ht="39" outlineLevel="1" thickBot="1" x14ac:dyDescent="0.3">
      <c r="A55" s="219" t="s">
        <v>510</v>
      </c>
      <c r="B55" s="166" t="str">
        <f>CONCATENATE(H4,H10)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- 5101. Версия FW уровня сети, уровня логических границ сети»</v>
      </c>
      <c r="C55" s="54" t="s">
        <v>597</v>
      </c>
      <c r="D55" s="123">
        <f>ROUNDUP(D53*0.95*5,0)</f>
        <v>450723</v>
      </c>
      <c r="E55" s="123">
        <f>ROUNDUP(E53*0.95*5,0)</f>
        <v>409341</v>
      </c>
      <c r="F55" s="60">
        <v>0.2</v>
      </c>
      <c r="G55" s="14"/>
    </row>
    <row r="56" spans="1:7" ht="25.5" x14ac:dyDescent="0.25">
      <c r="A56" s="448" t="s">
        <v>72</v>
      </c>
      <c r="B56" s="58" t="s">
        <v>1540</v>
      </c>
      <c r="C56" s="49"/>
      <c r="D56" s="124"/>
      <c r="E56" s="125"/>
      <c r="F56" s="51"/>
      <c r="G56" s="53"/>
    </row>
    <row r="57" spans="1:7" ht="25.5" outlineLevel="1" x14ac:dyDescent="0.25">
      <c r="A57" s="461"/>
      <c r="B57" s="42" t="s">
        <v>1109</v>
      </c>
      <c r="C57" s="43" t="str">
        <f>'[2]Diamond VPN FW - UTM'!C57</f>
        <v>BF-2-040</v>
      </c>
      <c r="D57" s="121">
        <f>'Diamond VPN FW - UTM'!D57</f>
        <v>273375</v>
      </c>
      <c r="E57" s="122">
        <f>ROUNDUP(D57*0.95,0)</f>
        <v>259707</v>
      </c>
      <c r="F57" s="45">
        <v>0.2</v>
      </c>
      <c r="G57" s="47" t="str">
        <f>'Diamond VPN FW - UTM'!G57</f>
        <v>8 x RJ45 GbE. Bypass. 2 x USB 3.0. Установка в стойку 1U. 2 блока питания. 2 места для модулей расширения</v>
      </c>
    </row>
    <row r="58" spans="1:7" ht="63.75" outlineLevel="1" x14ac:dyDescent="0.25">
      <c r="A58" s="461"/>
      <c r="B58" s="42" t="s">
        <v>1136</v>
      </c>
      <c r="C58" s="43" t="s">
        <v>227</v>
      </c>
      <c r="D58" s="121">
        <f>ROUNDUP(198362-24995,0)</f>
        <v>173367</v>
      </c>
      <c r="E58" s="122">
        <f>ROUNDUP(D58*0.85,0)</f>
        <v>147362</v>
      </c>
      <c r="F58" s="44" t="s">
        <v>4</v>
      </c>
      <c r="G58" s="46" t="s">
        <v>1560</v>
      </c>
    </row>
    <row r="59" spans="1:7" ht="63.75" outlineLevel="1" x14ac:dyDescent="0.25">
      <c r="A59" s="217" t="s">
        <v>73</v>
      </c>
      <c r="B59" s="106" t="s">
        <v>1149</v>
      </c>
      <c r="C59" s="21" t="s">
        <v>226</v>
      </c>
      <c r="D59" s="120">
        <f>ROUNDUP(D57+(D58*1.2),0)</f>
        <v>481416</v>
      </c>
      <c r="E59" s="120">
        <f>ROUNDUP(E57+(E58*1.2),0)</f>
        <v>436542</v>
      </c>
      <c r="F59" s="24">
        <v>0.2</v>
      </c>
      <c r="G59" s="91" t="s">
        <v>1561</v>
      </c>
    </row>
    <row r="60" spans="1:7" ht="38.25" outlineLevel="1" x14ac:dyDescent="0.25">
      <c r="A60" s="223" t="s">
        <v>74</v>
      </c>
      <c r="B60" s="31" t="str">
        <f>CONCATENATE(H1,H11)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- 5111. Версия FW уровня сети, уровня логических границ сети»</v>
      </c>
      <c r="C60" s="5" t="s">
        <v>285</v>
      </c>
      <c r="D60" s="120">
        <f>ROUNDUP((D57+D58)*0.2,0)</f>
        <v>89349</v>
      </c>
      <c r="E60" s="120">
        <f>ROUNDUP((E57+E58)*0.2,0)</f>
        <v>81414</v>
      </c>
      <c r="F60" s="107">
        <v>0.2</v>
      </c>
      <c r="G60" s="4"/>
    </row>
    <row r="61" spans="1:7" ht="38.25" outlineLevel="1" x14ac:dyDescent="0.25">
      <c r="A61" s="223" t="s">
        <v>511</v>
      </c>
      <c r="B61" s="22" t="str">
        <f>CONCATENATE(H3,H11)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- 5111. Версия FW уровня сети, уровня логических границ сети»</v>
      </c>
      <c r="C61" s="5" t="s">
        <v>598</v>
      </c>
      <c r="D61" s="118">
        <f>ROUNDUP(D60*0.97*3,0)</f>
        <v>260006</v>
      </c>
      <c r="E61" s="118">
        <f>ROUNDUP(E60*0.97*3,0)</f>
        <v>236915</v>
      </c>
      <c r="F61" s="107">
        <v>0.2</v>
      </c>
      <c r="G61" s="23"/>
    </row>
    <row r="62" spans="1:7" ht="39" outlineLevel="1" thickBot="1" x14ac:dyDescent="0.3">
      <c r="A62" s="219" t="s">
        <v>512</v>
      </c>
      <c r="B62" s="166" t="str">
        <f>CONCATENATE(H4,H11)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- 5111. Версия FW уровня сети, уровня логических границ сети»</v>
      </c>
      <c r="C62" s="54" t="s">
        <v>599</v>
      </c>
      <c r="D62" s="123">
        <f>ROUNDUP(D60*0.95*5,0)</f>
        <v>424408</v>
      </c>
      <c r="E62" s="123">
        <f>ROUNDUP(E60*0.95*5,0)</f>
        <v>386717</v>
      </c>
      <c r="F62" s="60">
        <v>0.2</v>
      </c>
      <c r="G62" s="14"/>
    </row>
    <row r="63" spans="1:7" ht="25.5" x14ac:dyDescent="0.25">
      <c r="A63" s="448" t="s">
        <v>75</v>
      </c>
      <c r="B63" s="58" t="s">
        <v>1541</v>
      </c>
      <c r="C63" s="98"/>
      <c r="D63" s="124"/>
      <c r="E63" s="125"/>
      <c r="F63" s="51"/>
      <c r="G63" s="53"/>
    </row>
    <row r="64" spans="1:7" ht="25.5" outlineLevel="1" x14ac:dyDescent="0.25">
      <c r="A64" s="461"/>
      <c r="B64" s="42" t="s">
        <v>1110</v>
      </c>
      <c r="C64" s="43" t="s">
        <v>463</v>
      </c>
      <c r="D64" s="121">
        <f>'Diamond VPN FW - UTM'!D64</f>
        <v>289125</v>
      </c>
      <c r="E64" s="122">
        <f>ROUNDUP(D64*0.95,0)</f>
        <v>274669</v>
      </c>
      <c r="F64" s="45">
        <v>0.2</v>
      </c>
      <c r="G64" s="47" t="str">
        <f>'Diamond VPN FW - UTM'!G64</f>
        <v>8 x RJ45 GbE. Bypass. 2 x USB 3.0. Установка в стойку 1U. 2 блока питания. 2 места для модулей расширения</v>
      </c>
    </row>
    <row r="65" spans="1:7" ht="63.75" outlineLevel="1" x14ac:dyDescent="0.25">
      <c r="A65" s="461"/>
      <c r="B65" s="42" t="s">
        <v>1137</v>
      </c>
      <c r="C65" s="43" t="s">
        <v>229</v>
      </c>
      <c r="D65" s="121">
        <f>ROUNDUP(380534-25151,0)</f>
        <v>355383</v>
      </c>
      <c r="E65" s="122">
        <f>ROUNDUP(D65*0.85,0)</f>
        <v>302076</v>
      </c>
      <c r="F65" s="44" t="s">
        <v>4</v>
      </c>
      <c r="G65" s="46" t="s">
        <v>1562</v>
      </c>
    </row>
    <row r="66" spans="1:7" ht="63.75" outlineLevel="1" x14ac:dyDescent="0.25">
      <c r="A66" s="352" t="s">
        <v>76</v>
      </c>
      <c r="B66" s="106" t="s">
        <v>1150</v>
      </c>
      <c r="C66" s="21" t="s">
        <v>228</v>
      </c>
      <c r="D66" s="120">
        <f>ROUNDUP(D64+(D65*1.2),0)</f>
        <v>715585</v>
      </c>
      <c r="E66" s="120">
        <f>ROUNDUP(E64+(E65*1.2),0)</f>
        <v>637161</v>
      </c>
      <c r="F66" s="24">
        <v>0.2</v>
      </c>
      <c r="G66" s="91" t="s">
        <v>1563</v>
      </c>
    </row>
    <row r="67" spans="1:7" ht="38.25" outlineLevel="1" x14ac:dyDescent="0.25">
      <c r="A67" s="223" t="s">
        <v>77</v>
      </c>
      <c r="B67" s="31" t="str">
        <f>CONCATENATE(H1,H12)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- 5121. Версия FW уровня сети, уровня логических границ сети»</v>
      </c>
      <c r="C67" s="5" t="s">
        <v>286</v>
      </c>
      <c r="D67" s="120">
        <f>ROUNDUP((D64+D65)*0.2,0)</f>
        <v>128902</v>
      </c>
      <c r="E67" s="120">
        <f>ROUNDUP((E64+E65)*0.2,0)</f>
        <v>115349</v>
      </c>
      <c r="F67" s="107">
        <v>0.2</v>
      </c>
      <c r="G67" s="4"/>
    </row>
    <row r="68" spans="1:7" ht="38.25" outlineLevel="1" x14ac:dyDescent="0.25">
      <c r="A68" s="223" t="s">
        <v>513</v>
      </c>
      <c r="B68" s="22" t="str">
        <f>CONCATENATE(H3,H12)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- 5121. Версия FW уровня сети, уровня логических границ сети»</v>
      </c>
      <c r="C68" s="5" t="s">
        <v>600</v>
      </c>
      <c r="D68" s="118">
        <f>ROUNDUP(D67*0.97*3,0)</f>
        <v>375105</v>
      </c>
      <c r="E68" s="118">
        <f>ROUNDUP(E67*0.97*3,0)</f>
        <v>335666</v>
      </c>
      <c r="F68" s="107">
        <v>0.2</v>
      </c>
      <c r="G68" s="23"/>
    </row>
    <row r="69" spans="1:7" ht="39" outlineLevel="1" thickBot="1" x14ac:dyDescent="0.3">
      <c r="A69" s="218" t="s">
        <v>514</v>
      </c>
      <c r="B69" s="31" t="str">
        <f>CONCATENATE(H4,H12)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- 5121. Версия FW уровня сети, уровня логических границ сети»</v>
      </c>
      <c r="C69" s="5" t="s">
        <v>601</v>
      </c>
      <c r="D69" s="120">
        <f>ROUNDUP(D67*0.95*5,0)</f>
        <v>612285</v>
      </c>
      <c r="E69" s="120">
        <f>ROUNDUP(E67*0.95*5,0)</f>
        <v>547908</v>
      </c>
      <c r="F69" s="107">
        <v>0.2</v>
      </c>
      <c r="G69" s="4"/>
    </row>
    <row r="70" spans="1:7" ht="25.5" outlineLevel="1" x14ac:dyDescent="0.25">
      <c r="A70" s="446" t="s">
        <v>78</v>
      </c>
      <c r="B70" s="167" t="s">
        <v>1525</v>
      </c>
      <c r="C70" s="98"/>
      <c r="D70" s="126"/>
      <c r="E70" s="126"/>
      <c r="F70" s="395"/>
      <c r="G70" s="390"/>
    </row>
    <row r="71" spans="1:7" ht="25.5" outlineLevel="1" x14ac:dyDescent="0.25">
      <c r="A71" s="447"/>
      <c r="B71" s="42" t="s">
        <v>1366</v>
      </c>
      <c r="C71" s="43" t="str">
        <f>'[3]Diamond VPN FW - UTM'!C71</f>
        <v>BF-2-093</v>
      </c>
      <c r="D71" s="121">
        <f>'Diamond VPN FW - UTM'!D71</f>
        <v>369600</v>
      </c>
      <c r="E71" s="122">
        <f>ROUNDUP(D71*0.95,0)</f>
        <v>351120</v>
      </c>
      <c r="F71" s="45">
        <v>0.2</v>
      </c>
      <c r="G71" s="47" t="str">
        <f>'Diamond VPN FW - UTM'!G71</f>
        <v>12 x RJ45 GbE. Bypass. 2 x USB 3.0. Установка в стойку 1U. 2 блока питания. 2 места для модулей расширения</v>
      </c>
    </row>
    <row r="72" spans="1:7" ht="63.75" outlineLevel="1" x14ac:dyDescent="0.25">
      <c r="A72" s="448"/>
      <c r="B72" s="42" t="s">
        <v>1528</v>
      </c>
      <c r="C72" s="43" t="s">
        <v>1634</v>
      </c>
      <c r="D72" s="121">
        <f>ROUNDUP(('Diamond VPN FW - UTM'!D72+35600)*0.4,0)</f>
        <v>198362</v>
      </c>
      <c r="E72" s="122">
        <f>ROUNDUP(D72*0.85,0)</f>
        <v>168608</v>
      </c>
      <c r="F72" s="44" t="s">
        <v>4</v>
      </c>
      <c r="G72" s="46" t="s">
        <v>1564</v>
      </c>
    </row>
    <row r="73" spans="1:7" ht="63.75" outlineLevel="1" x14ac:dyDescent="0.25">
      <c r="A73" s="352" t="s">
        <v>79</v>
      </c>
      <c r="B73" s="106" t="s">
        <v>1531</v>
      </c>
      <c r="C73" s="256" t="s">
        <v>1637</v>
      </c>
      <c r="D73" s="120">
        <f>ROUNDUP(D71+(D72*1.2),0)</f>
        <v>607635</v>
      </c>
      <c r="E73" s="120">
        <f>ROUNDUP(E71+(E72*1.2),0)</f>
        <v>553450</v>
      </c>
      <c r="F73" s="24">
        <v>0.2</v>
      </c>
      <c r="G73" s="91" t="s">
        <v>1569</v>
      </c>
    </row>
    <row r="74" spans="1:7" ht="38.25" outlineLevel="1" x14ac:dyDescent="0.25">
      <c r="A74" s="223" t="s">
        <v>80</v>
      </c>
      <c r="B74" s="31" t="str">
        <f>CONCATENATE(H1,H22)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- 5201. Версия FW уровня сети, уровня логических границ сети»</v>
      </c>
      <c r="C74" s="256" t="s">
        <v>1749</v>
      </c>
      <c r="D74" s="120">
        <f>ROUNDUP((D71+D72)*0.2,0)</f>
        <v>113593</v>
      </c>
      <c r="E74" s="120">
        <f>ROUNDUP((E71+E72)*0.2,0)</f>
        <v>103946</v>
      </c>
      <c r="F74" s="107">
        <v>0.2</v>
      </c>
      <c r="G74" s="23"/>
    </row>
    <row r="75" spans="1:7" ht="38.25" outlineLevel="1" x14ac:dyDescent="0.25">
      <c r="A75" s="223" t="s">
        <v>515</v>
      </c>
      <c r="B75" s="22" t="str">
        <f>CONCATENATE(H3,H22)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- 5201. Версия FW уровня сети, уровня логических границ сети»</v>
      </c>
      <c r="C75" s="256" t="s">
        <v>1750</v>
      </c>
      <c r="D75" s="118">
        <f>ROUNDUP(D74*0.97*3,0)</f>
        <v>330556</v>
      </c>
      <c r="E75" s="118">
        <f>ROUNDUP(E74*0.97*3,0)</f>
        <v>302483</v>
      </c>
      <c r="F75" s="107">
        <v>0.2</v>
      </c>
      <c r="G75" s="23"/>
    </row>
    <row r="76" spans="1:7" ht="39" outlineLevel="1" thickBot="1" x14ac:dyDescent="0.3">
      <c r="A76" s="219" t="s">
        <v>516</v>
      </c>
      <c r="B76" s="166" t="str">
        <f>CONCATENATE(H4,H22)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- 5201. Версия FW уровня сети, уровня логических границ сети»</v>
      </c>
      <c r="C76" s="268" t="s">
        <v>1751</v>
      </c>
      <c r="D76" s="123">
        <f>ROUNDUP(D74*0.95*5,0)</f>
        <v>539567</v>
      </c>
      <c r="E76" s="123">
        <f>ROUNDUP(E74*0.95*5,0)</f>
        <v>493744</v>
      </c>
      <c r="F76" s="60">
        <v>0.2</v>
      </c>
      <c r="G76" s="14"/>
    </row>
    <row r="77" spans="1:7" ht="25.5" outlineLevel="1" x14ac:dyDescent="0.25">
      <c r="A77" s="446" t="s">
        <v>81</v>
      </c>
      <c r="B77" s="58" t="s">
        <v>1526</v>
      </c>
      <c r="C77" s="98"/>
      <c r="D77" s="126"/>
      <c r="E77" s="126"/>
      <c r="F77" s="395"/>
      <c r="G77" s="390"/>
    </row>
    <row r="78" spans="1:7" ht="25.5" outlineLevel="1" x14ac:dyDescent="0.25">
      <c r="A78" s="447"/>
      <c r="B78" s="42" t="s">
        <v>1350</v>
      </c>
      <c r="C78" s="43" t="str">
        <f>'[3]Diamond VPN FW - UTM'!C78</f>
        <v>BF-2-094</v>
      </c>
      <c r="D78" s="121">
        <f>'Diamond VPN FW - UTM'!D78</f>
        <v>402192</v>
      </c>
      <c r="E78" s="122">
        <f>ROUNDUP(D78*0.95,0)</f>
        <v>382083</v>
      </c>
      <c r="F78" s="45">
        <v>0.2</v>
      </c>
      <c r="G78" s="47" t="str">
        <f>'Diamond VPN FW - UTM'!G78</f>
        <v>12 x RJ45 GbE. Bypass. 2 x USB 3.0. Установка в стойку 1U. 2 блока питания. 2 места для модулей расширения</v>
      </c>
    </row>
    <row r="79" spans="1:7" ht="63.75" outlineLevel="1" x14ac:dyDescent="0.25">
      <c r="A79" s="448"/>
      <c r="B79" s="42" t="s">
        <v>1529</v>
      </c>
      <c r="C79" s="43" t="s">
        <v>1635</v>
      </c>
      <c r="D79" s="121">
        <f>ROUNDUP(198362-24995,0)</f>
        <v>173367</v>
      </c>
      <c r="E79" s="122">
        <f>ROUNDUP(D79*0.85,0)</f>
        <v>147362</v>
      </c>
      <c r="F79" s="44" t="s">
        <v>4</v>
      </c>
      <c r="G79" s="46" t="s">
        <v>1565</v>
      </c>
    </row>
    <row r="80" spans="1:7" ht="63.75" outlineLevel="1" x14ac:dyDescent="0.25">
      <c r="A80" s="352" t="s">
        <v>82</v>
      </c>
      <c r="B80" s="106" t="s">
        <v>1532</v>
      </c>
      <c r="C80" s="256" t="s">
        <v>1638</v>
      </c>
      <c r="D80" s="120">
        <f>ROUNDUP(D78+(D79*1.2),0)</f>
        <v>610233</v>
      </c>
      <c r="E80" s="120">
        <f>ROUNDUP(E78+(E79*1.2),0)</f>
        <v>558918</v>
      </c>
      <c r="F80" s="24">
        <v>0.2</v>
      </c>
      <c r="G80" s="91" t="s">
        <v>1568</v>
      </c>
    </row>
    <row r="81" spans="1:7" ht="38.25" outlineLevel="1" x14ac:dyDescent="0.25">
      <c r="A81" s="223" t="s">
        <v>83</v>
      </c>
      <c r="B81" s="31" t="str">
        <f>CONCATENATE(H1,H23)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- 5211. Версия FW уровня сети, уровня логических границ сети»</v>
      </c>
      <c r="C81" s="256" t="s">
        <v>1752</v>
      </c>
      <c r="D81" s="120">
        <f>ROUNDUP((D78+D79)*0.2,0)</f>
        <v>115112</v>
      </c>
      <c r="E81" s="120">
        <f>ROUNDUP((E78+E79)*0.2,0)</f>
        <v>105889</v>
      </c>
      <c r="F81" s="107">
        <v>0.2</v>
      </c>
      <c r="G81" s="23"/>
    </row>
    <row r="82" spans="1:7" ht="38.25" outlineLevel="1" x14ac:dyDescent="0.25">
      <c r="A82" s="223" t="s">
        <v>517</v>
      </c>
      <c r="B82" s="22" t="str">
        <f>CONCATENATE(H3,H23)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- 5211. Версия FW уровня сети, уровня логических границ сети»</v>
      </c>
      <c r="C82" s="256" t="s">
        <v>1753</v>
      </c>
      <c r="D82" s="118">
        <f>ROUNDUP(D81*0.97*3,0)</f>
        <v>334976</v>
      </c>
      <c r="E82" s="118">
        <f>ROUNDUP(E81*0.97*3,0)</f>
        <v>308137</v>
      </c>
      <c r="F82" s="107">
        <v>0.2</v>
      </c>
      <c r="G82" s="23"/>
    </row>
    <row r="83" spans="1:7" ht="39" outlineLevel="1" thickBot="1" x14ac:dyDescent="0.3">
      <c r="A83" s="219" t="s">
        <v>518</v>
      </c>
      <c r="B83" s="166" t="str">
        <f>CONCATENATE(H4,H23)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- 5211. Версия FW уровня сети, уровня логических границ сети»</v>
      </c>
      <c r="C83" s="268" t="s">
        <v>1754</v>
      </c>
      <c r="D83" s="123">
        <f>ROUNDUP(D81*0.95*5,0)</f>
        <v>546782</v>
      </c>
      <c r="E83" s="123">
        <f>ROUNDUP(E81*0.95*5,0)</f>
        <v>502973</v>
      </c>
      <c r="F83" s="107">
        <v>0.2</v>
      </c>
      <c r="G83" s="14"/>
    </row>
    <row r="84" spans="1:7" ht="25.5" outlineLevel="1" x14ac:dyDescent="0.25">
      <c r="A84" s="462" t="s">
        <v>84</v>
      </c>
      <c r="B84" s="167" t="s">
        <v>1527</v>
      </c>
      <c r="C84" s="98"/>
      <c r="D84" s="126"/>
      <c r="E84" s="126"/>
      <c r="F84" s="395"/>
      <c r="G84" s="390"/>
    </row>
    <row r="85" spans="1:7" ht="25.5" outlineLevel="1" x14ac:dyDescent="0.25">
      <c r="A85" s="463"/>
      <c r="B85" s="42" t="s">
        <v>1377</v>
      </c>
      <c r="C85" s="43" t="str">
        <f>'[3]Diamond VPN FW - UTM'!C85</f>
        <v>BF-2-095</v>
      </c>
      <c r="D85" s="121">
        <f>'Diamond VPN FW - UTM'!D85</f>
        <v>421344</v>
      </c>
      <c r="E85" s="122">
        <f>ROUNDUP(D85*0.95,0)</f>
        <v>400277</v>
      </c>
      <c r="F85" s="45">
        <v>0.2</v>
      </c>
      <c r="G85" s="47" t="str">
        <f>'Diamond VPN FW - UTM'!G85</f>
        <v>12 x RJ45 GbE. Bypass. 2 x USB 3.0. Установка в стойку 1U. 2 блока питания. 2 места для модулей расширения</v>
      </c>
    </row>
    <row r="86" spans="1:7" ht="63.75" outlineLevel="1" x14ac:dyDescent="0.25">
      <c r="A86" s="464"/>
      <c r="B86" s="42" t="s">
        <v>1530</v>
      </c>
      <c r="C86" s="43" t="s">
        <v>1636</v>
      </c>
      <c r="D86" s="121">
        <f>ROUNDUP(380534-25151,0)</f>
        <v>355383</v>
      </c>
      <c r="E86" s="122">
        <f>ROUNDUP(D86*0.85,0)</f>
        <v>302076</v>
      </c>
      <c r="F86" s="44" t="s">
        <v>4</v>
      </c>
      <c r="G86" s="46" t="s">
        <v>1566</v>
      </c>
    </row>
    <row r="87" spans="1:7" ht="63.75" outlineLevel="1" x14ac:dyDescent="0.25">
      <c r="A87" s="392" t="s">
        <v>85</v>
      </c>
      <c r="B87" s="106" t="s">
        <v>1533</v>
      </c>
      <c r="C87" s="256" t="s">
        <v>1639</v>
      </c>
      <c r="D87" s="120">
        <f>ROUNDUP(D85+(D86*1.2),0)</f>
        <v>847804</v>
      </c>
      <c r="E87" s="120">
        <f>ROUNDUP(E85+(E86*1.2),0)</f>
        <v>762769</v>
      </c>
      <c r="F87" s="24">
        <v>0.2</v>
      </c>
      <c r="G87" s="91" t="s">
        <v>1567</v>
      </c>
    </row>
    <row r="88" spans="1:7" ht="38.25" outlineLevel="1" x14ac:dyDescent="0.25">
      <c r="A88" s="405" t="s">
        <v>86</v>
      </c>
      <c r="B88" s="31" t="str">
        <f>CONCATENATE(H1,H24)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- 5221. Версия FW уровня сети, уровня логических границ сети»</v>
      </c>
      <c r="C88" s="256" t="s">
        <v>1755</v>
      </c>
      <c r="D88" s="120">
        <f>ROUNDUP((D85+D86)*0.2,0)</f>
        <v>155346</v>
      </c>
      <c r="E88" s="120">
        <f>ROUNDUP((E85+E86)*0.2,0)</f>
        <v>140471</v>
      </c>
      <c r="F88" s="107">
        <v>0.2</v>
      </c>
      <c r="G88" s="23"/>
    </row>
    <row r="89" spans="1:7" ht="38.25" outlineLevel="1" x14ac:dyDescent="0.25">
      <c r="A89" s="405" t="s">
        <v>519</v>
      </c>
      <c r="B89" s="22" t="str">
        <f>CONCATENATE(H3,H24)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- 5221. Версия FW уровня сети, уровня логических границ сети»</v>
      </c>
      <c r="C89" s="256" t="s">
        <v>1756</v>
      </c>
      <c r="D89" s="118">
        <f>ROUNDUP(D88*0.97*3,0)</f>
        <v>452057</v>
      </c>
      <c r="E89" s="118">
        <f>ROUNDUP(E88*0.97*3,0)</f>
        <v>408771</v>
      </c>
      <c r="F89" s="107">
        <v>0.2</v>
      </c>
      <c r="G89" s="23"/>
    </row>
    <row r="90" spans="1:7" ht="39" outlineLevel="1" thickBot="1" x14ac:dyDescent="0.3">
      <c r="A90" s="393" t="s">
        <v>520</v>
      </c>
      <c r="B90" s="166" t="str">
        <f>CONCATENATE(H4,H24)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- 5221. Версия FW уровня сети, уровня логических границ сети»</v>
      </c>
      <c r="C90" s="268" t="s">
        <v>1757</v>
      </c>
      <c r="D90" s="123">
        <f>ROUNDUP(D88*0.95*5,0)</f>
        <v>737894</v>
      </c>
      <c r="E90" s="123">
        <f>ROUNDUP(E88*0.95*5,0)</f>
        <v>667238</v>
      </c>
      <c r="F90" s="60">
        <v>0.2</v>
      </c>
      <c r="G90" s="14"/>
    </row>
    <row r="91" spans="1:7" ht="25.5" x14ac:dyDescent="0.25">
      <c r="A91" s="447" t="s">
        <v>87</v>
      </c>
      <c r="B91" s="58" t="s">
        <v>1542</v>
      </c>
      <c r="C91" s="49"/>
      <c r="D91" s="124"/>
      <c r="E91" s="125"/>
      <c r="F91" s="51"/>
      <c r="G91" s="53"/>
    </row>
    <row r="92" spans="1:7" ht="38.25" outlineLevel="1" x14ac:dyDescent="0.25">
      <c r="A92" s="447"/>
      <c r="B92" s="42" t="s">
        <v>1111</v>
      </c>
      <c r="C92" s="43" t="str">
        <f>'[1]Diamond VPN FW - VPN'!C105</f>
        <v>BF-2-048</v>
      </c>
      <c r="D92" s="121">
        <f>'Diamond VPN FW - UTM'!D92</f>
        <v>371250</v>
      </c>
      <c r="E92" s="122">
        <f>ROUNDUP(D92*0.95,0)</f>
        <v>352688</v>
      </c>
      <c r="F92" s="45">
        <v>0.2</v>
      </c>
      <c r="G92" s="48" t="str">
        <f>'Diamond VPN FW - UTM'!G92</f>
        <v xml:space="preserve">ОБЯЗАТЕЛЬНА ДОКУПКА МОДУЛЕЙ РАСШИРЕНИЯ!
1 x RJ45 GbE. 2 x USB 3.0. Установка в стойку 1U. 2 блока питания. 4 места для модулей расширения. Bypass в зависимости от модуля расширения. </v>
      </c>
    </row>
    <row r="93" spans="1:7" ht="63.75" outlineLevel="1" x14ac:dyDescent="0.25">
      <c r="A93" s="448"/>
      <c r="B93" s="42" t="s">
        <v>1138</v>
      </c>
      <c r="C93" s="43" t="s">
        <v>231</v>
      </c>
      <c r="D93" s="121">
        <f>ROUNDUP(375928-35718,0)</f>
        <v>340210</v>
      </c>
      <c r="E93" s="122">
        <f>ROUNDUP(D93*0.85,0)</f>
        <v>289179</v>
      </c>
      <c r="F93" s="44" t="s">
        <v>4</v>
      </c>
      <c r="G93" s="46" t="s">
        <v>1157</v>
      </c>
    </row>
    <row r="94" spans="1:7" ht="51" outlineLevel="1" x14ac:dyDescent="0.25">
      <c r="A94" s="352" t="s">
        <v>88</v>
      </c>
      <c r="B94" s="106" t="s">
        <v>1151</v>
      </c>
      <c r="C94" s="21" t="s">
        <v>230</v>
      </c>
      <c r="D94" s="120">
        <f>ROUNDUP(D92+(D93*1.2),0)</f>
        <v>779502</v>
      </c>
      <c r="E94" s="120">
        <f>ROUNDUP(E92+(E93*1.2),0)</f>
        <v>699703</v>
      </c>
      <c r="F94" s="24">
        <v>0.2</v>
      </c>
      <c r="G94" s="91" t="s">
        <v>1156</v>
      </c>
    </row>
    <row r="95" spans="1:7" ht="38.25" outlineLevel="1" x14ac:dyDescent="0.25">
      <c r="A95" s="223" t="s">
        <v>89</v>
      </c>
      <c r="B95" s="31" t="str">
        <f>CONCATENATE(H1,H13)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- 6101. Версия FW уровня сети, уровня логических границ сети»</v>
      </c>
      <c r="C95" s="5" t="s">
        <v>287</v>
      </c>
      <c r="D95" s="120">
        <f>ROUNDUP((D92+D93)*0.2,0)</f>
        <v>142292</v>
      </c>
      <c r="E95" s="120">
        <f>ROUNDUP((E92+E93)*0.2,0)</f>
        <v>128374</v>
      </c>
      <c r="F95" s="107">
        <v>0.2</v>
      </c>
      <c r="G95" s="93"/>
    </row>
    <row r="96" spans="1:7" ht="38.25" outlineLevel="1" x14ac:dyDescent="0.25">
      <c r="A96" s="223" t="s">
        <v>521</v>
      </c>
      <c r="B96" s="22" t="str">
        <f>CONCATENATE(H3,H13)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- 6101. Версия FW уровня сети, уровня логических границ сети»</v>
      </c>
      <c r="C96" s="5" t="s">
        <v>602</v>
      </c>
      <c r="D96" s="118">
        <f>ROUNDUP(D95*0.97*3,0)</f>
        <v>414070</v>
      </c>
      <c r="E96" s="118">
        <f>ROUNDUP(E95*0.97*3,0)</f>
        <v>373569</v>
      </c>
      <c r="F96" s="107">
        <v>0.2</v>
      </c>
      <c r="G96" s="197"/>
    </row>
    <row r="97" spans="1:7" ht="39" outlineLevel="1" thickBot="1" x14ac:dyDescent="0.3">
      <c r="A97" s="219" t="s">
        <v>522</v>
      </c>
      <c r="B97" s="166" t="str">
        <f>CONCATENATE(H4,H13)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- 6101. Версия FW уровня сети, уровня логических границ сети»</v>
      </c>
      <c r="C97" s="54" t="s">
        <v>603</v>
      </c>
      <c r="D97" s="123">
        <f>ROUNDUP(D95*0.95*5,0)</f>
        <v>675887</v>
      </c>
      <c r="E97" s="123">
        <f>ROUNDUP(E95*0.95*5,0)</f>
        <v>609777</v>
      </c>
      <c r="F97" s="60">
        <v>0.2</v>
      </c>
      <c r="G97" s="57"/>
    </row>
    <row r="98" spans="1:7" ht="25.5" x14ac:dyDescent="0.25">
      <c r="A98" s="446" t="s">
        <v>90</v>
      </c>
      <c r="B98" s="58" t="s">
        <v>1543</v>
      </c>
      <c r="C98" s="49"/>
      <c r="D98" s="124"/>
      <c r="E98" s="125"/>
      <c r="F98" s="51"/>
      <c r="G98" s="56"/>
    </row>
    <row r="99" spans="1:7" ht="38.25" outlineLevel="1" x14ac:dyDescent="0.25">
      <c r="A99" s="447"/>
      <c r="B99" s="42" t="s">
        <v>1112</v>
      </c>
      <c r="C99" s="43" t="str">
        <f>'[1]Diamond VPN FW - VPN'!C112</f>
        <v>BF-2-053</v>
      </c>
      <c r="D99" s="121">
        <f>'Diamond VPN FW - UTM'!D99</f>
        <v>558000</v>
      </c>
      <c r="E99" s="122">
        <f>ROUNDUP(D99*0.95,0)</f>
        <v>530100</v>
      </c>
      <c r="F99" s="45">
        <v>0.2</v>
      </c>
      <c r="G99" s="48" t="str">
        <f>'Diamond VPN FW - UTM'!G99</f>
        <v xml:space="preserve">ОБЯЗАТЕЛЬНА ДОКУПКА МОДУЛЕЙ РАСШИРЕНИЯ!
1 x RJ45 GbE. 2 x USB 3.0. Установка в стойку 1U. 2 блока питания. 4 места для модулей расширения. Bypass в зависимости от модуля расширения. </v>
      </c>
    </row>
    <row r="100" spans="1:7" ht="63.75" outlineLevel="1" x14ac:dyDescent="0.25">
      <c r="A100" s="448"/>
      <c r="B100" s="42" t="s">
        <v>1139</v>
      </c>
      <c r="C100" s="43" t="s">
        <v>233</v>
      </c>
      <c r="D100" s="121">
        <f>ROUNDUP(778954-58594,0)</f>
        <v>720360</v>
      </c>
      <c r="E100" s="122">
        <f>ROUNDUP(D100*0.85,0)</f>
        <v>612306</v>
      </c>
      <c r="F100" s="44" t="s">
        <v>4</v>
      </c>
      <c r="G100" s="46" t="s">
        <v>1570</v>
      </c>
    </row>
    <row r="101" spans="1:7" ht="63.75" outlineLevel="1" x14ac:dyDescent="0.25">
      <c r="A101" s="352" t="s">
        <v>91</v>
      </c>
      <c r="B101" s="106" t="s">
        <v>1152</v>
      </c>
      <c r="C101" s="21" t="s">
        <v>232</v>
      </c>
      <c r="D101" s="120">
        <f>ROUNDUP(D99+(D100*1.2),0)</f>
        <v>1422432</v>
      </c>
      <c r="E101" s="120">
        <f>ROUNDUP(E99+(E100*1.2),0)</f>
        <v>1264868</v>
      </c>
      <c r="F101" s="24">
        <v>0.2</v>
      </c>
      <c r="G101" s="91" t="s">
        <v>1571</v>
      </c>
    </row>
    <row r="102" spans="1:7" ht="38.25" outlineLevel="1" x14ac:dyDescent="0.25">
      <c r="A102" s="223" t="s">
        <v>92</v>
      </c>
      <c r="B102" s="31" t="str">
        <f>CONCATENATE(H1,H14)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- 7101. Версия FW уровня сети, уровня логических границ сети»</v>
      </c>
      <c r="C102" s="5" t="s">
        <v>288</v>
      </c>
      <c r="D102" s="120">
        <f>ROUNDUP((D99+D100)*0.2,0)</f>
        <v>255672</v>
      </c>
      <c r="E102" s="120">
        <f>ROUNDUP((E99+E100)*0.2,0)</f>
        <v>228482</v>
      </c>
      <c r="F102" s="107">
        <v>0.2</v>
      </c>
      <c r="G102" s="93"/>
    </row>
    <row r="103" spans="1:7" ht="38.25" outlineLevel="1" x14ac:dyDescent="0.25">
      <c r="A103" s="223" t="s">
        <v>523</v>
      </c>
      <c r="B103" s="22" t="str">
        <f>CONCATENATE(H3,H14)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- 7101. Версия FW уровня сети, уровня логических границ сети»</v>
      </c>
      <c r="C103" s="5" t="s">
        <v>604</v>
      </c>
      <c r="D103" s="118">
        <f>ROUNDUP(D102*0.97*3,0)</f>
        <v>744006</v>
      </c>
      <c r="E103" s="118">
        <f>ROUNDUP(E102*0.97*3,0)</f>
        <v>664883</v>
      </c>
      <c r="F103" s="107">
        <v>0.2</v>
      </c>
      <c r="G103" s="197"/>
    </row>
    <row r="104" spans="1:7" ht="39" outlineLevel="1" thickBot="1" x14ac:dyDescent="0.3">
      <c r="A104" s="219" t="s">
        <v>524</v>
      </c>
      <c r="B104" s="166" t="str">
        <f>CONCATENATE(H4,H14)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- 7101. Версия FW уровня сети, уровня логических границ сети»</v>
      </c>
      <c r="C104" s="54" t="s">
        <v>605</v>
      </c>
      <c r="D104" s="123">
        <f>ROUNDUP(D102*0.95*5,0)</f>
        <v>1214442</v>
      </c>
      <c r="E104" s="123">
        <f>ROUNDUP(E102*0.95*5,0)</f>
        <v>1085290</v>
      </c>
      <c r="F104" s="60">
        <v>0.2</v>
      </c>
      <c r="G104" s="57"/>
    </row>
    <row r="105" spans="1:7" ht="25.5" x14ac:dyDescent="0.25">
      <c r="A105" s="446" t="s">
        <v>93</v>
      </c>
      <c r="B105" s="58" t="s">
        <v>1544</v>
      </c>
      <c r="C105" s="49"/>
      <c r="D105" s="124"/>
      <c r="E105" s="125"/>
      <c r="F105" s="51"/>
      <c r="G105" s="56"/>
    </row>
    <row r="106" spans="1:7" ht="38.25" outlineLevel="1" x14ac:dyDescent="0.25">
      <c r="A106" s="447"/>
      <c r="B106" s="42" t="s">
        <v>1113</v>
      </c>
      <c r="C106" s="43" t="str">
        <f>'[1]Diamond VPN FW - UTM'!C99</f>
        <v>BF-2-059</v>
      </c>
      <c r="D106" s="121">
        <f>'Diamond VPN FW - UTM'!D106</f>
        <v>994500</v>
      </c>
      <c r="E106" s="122">
        <f>ROUNDUP(D106*0.95,0)</f>
        <v>944775</v>
      </c>
      <c r="F106" s="45">
        <v>0.2</v>
      </c>
      <c r="G106" s="48" t="str">
        <f>'Diamond VPN FW - UTM'!G106</f>
        <v xml:space="preserve">ОБЯЗАТЕЛЬНА ДОКУПКА МОДУЛЕЙ РАСШИРЕНИЯ!
1 x RJ45 GbE. 2 x USB 3.0. Установка в стойку 1U. 2 блока питания. 4 места для модулей расширения. Bypass в зависимости от модуля расширения. </v>
      </c>
    </row>
    <row r="107" spans="1:7" ht="63.75" outlineLevel="1" x14ac:dyDescent="0.25">
      <c r="A107" s="448"/>
      <c r="B107" s="42" t="s">
        <v>1140</v>
      </c>
      <c r="C107" s="43" t="s">
        <v>235</v>
      </c>
      <c r="D107" s="121">
        <f>ROUNDUP(1960688-78802,0)</f>
        <v>1881886</v>
      </c>
      <c r="E107" s="122">
        <f>ROUNDUP(D107*0.85,0)</f>
        <v>1599604</v>
      </c>
      <c r="F107" s="44" t="s">
        <v>4</v>
      </c>
      <c r="G107" s="46" t="s">
        <v>1572</v>
      </c>
    </row>
    <row r="108" spans="1:7" ht="63.75" outlineLevel="1" x14ac:dyDescent="0.25">
      <c r="A108" s="352" t="s">
        <v>94</v>
      </c>
      <c r="B108" s="106" t="s">
        <v>1153</v>
      </c>
      <c r="C108" s="21" t="s">
        <v>234</v>
      </c>
      <c r="D108" s="120">
        <f>ROUNDUP(D106+(D107*1.2),0)</f>
        <v>3252764</v>
      </c>
      <c r="E108" s="120">
        <f>ROUNDUP(E106+(E107*1.2),0)</f>
        <v>2864300</v>
      </c>
      <c r="F108" s="24">
        <v>0.2</v>
      </c>
      <c r="G108" s="91" t="s">
        <v>1573</v>
      </c>
    </row>
    <row r="109" spans="1:7" ht="38.25" outlineLevel="1" x14ac:dyDescent="0.25">
      <c r="A109" s="223" t="s">
        <v>95</v>
      </c>
      <c r="B109" s="31" t="str">
        <f>CONCATENATE(H1,H15)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- 7141. Версия FW уровня сети, уровня логических границ сети»</v>
      </c>
      <c r="C109" s="5" t="s">
        <v>289</v>
      </c>
      <c r="D109" s="120">
        <f>ROUNDUP((D106+D107)*0.2,0)</f>
        <v>575278</v>
      </c>
      <c r="E109" s="120">
        <f>ROUNDUP((E106+E107)*0.2,0)</f>
        <v>508876</v>
      </c>
      <c r="F109" s="107">
        <v>0.2</v>
      </c>
      <c r="G109" s="93"/>
    </row>
    <row r="110" spans="1:7" ht="38.25" outlineLevel="1" x14ac:dyDescent="0.25">
      <c r="A110" s="223" t="s">
        <v>525</v>
      </c>
      <c r="B110" s="22" t="str">
        <f>CONCATENATE(H3,H15)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- 7141. Версия FW уровня сети, уровня логических границ сети»</v>
      </c>
      <c r="C110" s="5" t="s">
        <v>606</v>
      </c>
      <c r="D110" s="118">
        <f>ROUNDUP(D109*0.97*3,0)</f>
        <v>1674059</v>
      </c>
      <c r="E110" s="118">
        <f>ROUNDUP(E109*0.97*3,0)</f>
        <v>1480830</v>
      </c>
      <c r="F110" s="107">
        <v>0.2</v>
      </c>
      <c r="G110" s="197"/>
    </row>
    <row r="111" spans="1:7" ht="39" outlineLevel="1" thickBot="1" x14ac:dyDescent="0.3">
      <c r="A111" s="219" t="s">
        <v>526</v>
      </c>
      <c r="B111" s="166" t="str">
        <f>CONCATENATE(H4,H15)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- 7141. Версия FW уровня сети, уровня логических границ сети»</v>
      </c>
      <c r="C111" s="54" t="s">
        <v>607</v>
      </c>
      <c r="D111" s="123">
        <f>ROUNDUP(D109*0.95*5,0)</f>
        <v>2732571</v>
      </c>
      <c r="E111" s="123">
        <f>ROUNDUP(E109*0.95*5,0)</f>
        <v>2417161</v>
      </c>
      <c r="F111" s="60">
        <v>0.2</v>
      </c>
      <c r="G111" s="57"/>
    </row>
    <row r="112" spans="1:7" ht="25.5" x14ac:dyDescent="0.25">
      <c r="A112" s="446" t="s">
        <v>830</v>
      </c>
      <c r="B112" s="58" t="s">
        <v>1545</v>
      </c>
      <c r="C112" s="49"/>
      <c r="D112" s="184"/>
      <c r="E112" s="125"/>
      <c r="F112" s="51"/>
      <c r="G112" s="56"/>
    </row>
    <row r="113" spans="1:7" ht="38.25" outlineLevel="1" x14ac:dyDescent="0.25">
      <c r="A113" s="447"/>
      <c r="B113" s="42" t="s">
        <v>1114</v>
      </c>
      <c r="C113" s="43" t="str">
        <f>'[1]Diamond VPN FW - UTM'!C106</f>
        <v>BF-2-067</v>
      </c>
      <c r="D113" s="121">
        <f>'Diamond VPN FW - UTM'!D113</f>
        <v>1866396</v>
      </c>
      <c r="E113" s="122">
        <f>ROUNDUP(D113*0.95,0)</f>
        <v>1773077</v>
      </c>
      <c r="F113" s="45">
        <v>0.2</v>
      </c>
      <c r="G113" s="48" t="s">
        <v>443</v>
      </c>
    </row>
    <row r="114" spans="1:7" ht="63.75" outlineLevel="1" x14ac:dyDescent="0.25">
      <c r="A114" s="448"/>
      <c r="B114" s="42" t="s">
        <v>1141</v>
      </c>
      <c r="C114" s="43" t="s">
        <v>237</v>
      </c>
      <c r="D114" s="121">
        <f>ROUNDUP(('Diamond VPN FW - UTM'!D114+35600)*0.4,0)</f>
        <v>2222768</v>
      </c>
      <c r="E114" s="122">
        <f>ROUNDUP(D114*0.85,0)</f>
        <v>1889353</v>
      </c>
      <c r="F114" s="44" t="s">
        <v>4</v>
      </c>
      <c r="G114" s="46" t="s">
        <v>1574</v>
      </c>
    </row>
    <row r="115" spans="1:7" ht="63.75" outlineLevel="1" x14ac:dyDescent="0.25">
      <c r="A115" s="352" t="s">
        <v>831</v>
      </c>
      <c r="B115" s="106" t="s">
        <v>1154</v>
      </c>
      <c r="C115" s="21" t="s">
        <v>236</v>
      </c>
      <c r="D115" s="120">
        <f>ROUNDUP(D113+(D114*1.2),0)</f>
        <v>4533718</v>
      </c>
      <c r="E115" s="120">
        <f>ROUNDUP(E113+(E114*1.2),0)</f>
        <v>4040301</v>
      </c>
      <c r="F115" s="24">
        <v>0.2</v>
      </c>
      <c r="G115" s="91" t="s">
        <v>1575</v>
      </c>
    </row>
    <row r="116" spans="1:7" ht="38.25" outlineLevel="1" x14ac:dyDescent="0.25">
      <c r="A116" s="223" t="s">
        <v>832</v>
      </c>
      <c r="B116" s="31" t="str">
        <f>CONCATENATE(H1,H16)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- 7151. Версия FW уровня сети, уровня логических границ сети»</v>
      </c>
      <c r="C116" s="5" t="s">
        <v>304</v>
      </c>
      <c r="D116" s="120">
        <f>ROUNDUP((D113+D114)*0.2,0)</f>
        <v>817833</v>
      </c>
      <c r="E116" s="120">
        <f>ROUNDUP((E113+E114)*0.2,0)</f>
        <v>732486</v>
      </c>
      <c r="F116" s="107">
        <v>0.2</v>
      </c>
      <c r="G116" s="93"/>
    </row>
    <row r="117" spans="1:7" ht="38.25" outlineLevel="1" x14ac:dyDescent="0.25">
      <c r="A117" s="223" t="s">
        <v>833</v>
      </c>
      <c r="B117" s="22" t="str">
        <f>CONCATENATE(H3,H16)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- 7151. Версия FW уровня сети, уровня логических границ сети»</v>
      </c>
      <c r="C117" s="5" t="s">
        <v>608</v>
      </c>
      <c r="D117" s="118">
        <f>ROUNDUP(D116*0.97*3,0)</f>
        <v>2379895</v>
      </c>
      <c r="E117" s="118">
        <f>ROUNDUP(E116*0.97*3,0)</f>
        <v>2131535</v>
      </c>
      <c r="F117" s="107">
        <v>0.2</v>
      </c>
      <c r="G117" s="197"/>
    </row>
    <row r="118" spans="1:7" ht="39" outlineLevel="1" thickBot="1" x14ac:dyDescent="0.3">
      <c r="A118" s="219" t="s">
        <v>834</v>
      </c>
      <c r="B118" s="166" t="str">
        <f>CONCATENATE(H4,H16)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- 7151. Версия FW уровня сети, уровня логических границ сети»</v>
      </c>
      <c r="C118" s="54" t="s">
        <v>609</v>
      </c>
      <c r="D118" s="123">
        <f>ROUNDUP(D116*0.95*5,0)</f>
        <v>3884707</v>
      </c>
      <c r="E118" s="123">
        <f>ROUNDUP(E116*0.95*5,0)</f>
        <v>3479309</v>
      </c>
      <c r="F118" s="60">
        <v>0.2</v>
      </c>
      <c r="G118" s="57"/>
    </row>
    <row r="119" spans="1:7" ht="25.5" x14ac:dyDescent="0.25">
      <c r="A119" s="446" t="s">
        <v>1484</v>
      </c>
      <c r="B119" s="58" t="s">
        <v>1546</v>
      </c>
      <c r="C119" s="49"/>
      <c r="D119" s="124"/>
      <c r="E119" s="125"/>
      <c r="F119" s="51"/>
      <c r="G119" s="56"/>
    </row>
    <row r="120" spans="1:7" ht="38.25" outlineLevel="1" x14ac:dyDescent="0.25">
      <c r="A120" s="447"/>
      <c r="B120" s="42" t="s">
        <v>1115</v>
      </c>
      <c r="C120" s="43" t="str">
        <f>'[1]Diamond VPN FW - UTM'!C113</f>
        <v>BF-2-068</v>
      </c>
      <c r="D120" s="121">
        <f>'Diamond VPN FW - UTM'!D120</f>
        <v>72026</v>
      </c>
      <c r="E120" s="122">
        <f>ROUNDUP(D120*0.95,0)</f>
        <v>68425</v>
      </c>
      <c r="F120" s="45">
        <v>0.2</v>
      </c>
      <c r="G120" s="47" t="str">
        <f>'Diamond VPN FW - UTM'!G120</f>
        <v xml:space="preserve">Многофункциональный комплекс сетевой защиты Diamond VPN/FW в промышленном исполнении для монтажа на DIN-рейку. 4 x RJ45 GbE.1 х USB 3.0, 1 x USB 2.0. Рабочая температура  -20°C…55°C. </v>
      </c>
    </row>
    <row r="121" spans="1:7" ht="63.75" outlineLevel="1" x14ac:dyDescent="0.25">
      <c r="A121" s="448"/>
      <c r="B121" s="42" t="s">
        <v>1142</v>
      </c>
      <c r="C121" s="43" t="s">
        <v>239</v>
      </c>
      <c r="D121" s="121">
        <f>ROUNDUP(('Diamond VPN FW - UTM'!D121+35600)*0.4,0)</f>
        <v>115742</v>
      </c>
      <c r="E121" s="121">
        <f>ROUNDUP(D121*0.85,0)</f>
        <v>98381</v>
      </c>
      <c r="F121" s="44" t="s">
        <v>4</v>
      </c>
      <c r="G121" s="46" t="s">
        <v>1576</v>
      </c>
    </row>
    <row r="122" spans="1:7" ht="63.75" outlineLevel="1" x14ac:dyDescent="0.25">
      <c r="A122" s="352" t="s">
        <v>1485</v>
      </c>
      <c r="B122" s="106" t="s">
        <v>1155</v>
      </c>
      <c r="C122" s="21" t="s">
        <v>238</v>
      </c>
      <c r="D122" s="120">
        <f>ROUNDUP(D120+(D121*1.2),0)</f>
        <v>210917</v>
      </c>
      <c r="E122" s="120">
        <f>ROUNDUP(E120+(E121*1.2),0)</f>
        <v>186483</v>
      </c>
      <c r="F122" s="24">
        <v>0.2</v>
      </c>
      <c r="G122" s="91" t="s">
        <v>1577</v>
      </c>
    </row>
    <row r="123" spans="1:7" ht="38.25" outlineLevel="1" x14ac:dyDescent="0.25">
      <c r="A123" s="223" t="s">
        <v>1486</v>
      </c>
      <c r="B123" s="31" t="str">
        <f>CONCATENATE(H1,H17)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- 8101. Версия FW уровня сети, уровня логических границ сети»</v>
      </c>
      <c r="C123" s="5" t="s">
        <v>305</v>
      </c>
      <c r="D123" s="120">
        <f>ROUNDUP((D120+D121)*0.2,0)</f>
        <v>37554</v>
      </c>
      <c r="E123" s="120">
        <f>ROUNDUP((E120+E121)*0.2,0)</f>
        <v>33362</v>
      </c>
      <c r="F123" s="107">
        <v>0.2</v>
      </c>
      <c r="G123" s="4"/>
    </row>
    <row r="124" spans="1:7" ht="38.25" outlineLevel="1" x14ac:dyDescent="0.25">
      <c r="A124" s="223" t="s">
        <v>1487</v>
      </c>
      <c r="B124" s="22" t="str">
        <f>CONCATENATE(H3,H17)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- 8101. Версия FW уровня сети, уровня логических границ сети»</v>
      </c>
      <c r="C124" s="5" t="s">
        <v>610</v>
      </c>
      <c r="D124" s="118">
        <f>ROUNDUP(D123*0.97*3,0)</f>
        <v>109283</v>
      </c>
      <c r="E124" s="118">
        <f>ROUNDUP(E123*0.97*3,0)</f>
        <v>97084</v>
      </c>
      <c r="F124" s="107">
        <v>0.2</v>
      </c>
      <c r="G124" s="23"/>
    </row>
    <row r="125" spans="1:7" ht="39" outlineLevel="1" thickBot="1" x14ac:dyDescent="0.3">
      <c r="A125" s="219" t="s">
        <v>1488</v>
      </c>
      <c r="B125" s="166" t="str">
        <f>CONCATENATE(H4,H17)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- 8101. Версия FW уровня сети, уровня логических границ сети»</v>
      </c>
      <c r="C125" s="54" t="s">
        <v>611</v>
      </c>
      <c r="D125" s="123">
        <f>ROUNDUP(D123*0.95*5,0)</f>
        <v>178382</v>
      </c>
      <c r="E125" s="123">
        <f>ROUNDUP(E123*0.95*5,0)</f>
        <v>158470</v>
      </c>
      <c r="F125" s="60">
        <v>0.2</v>
      </c>
      <c r="G125" s="14"/>
    </row>
    <row r="126" spans="1:7" ht="15.75" thickBot="1" x14ac:dyDescent="0.3">
      <c r="A126" s="226"/>
      <c r="B126" s="94" t="s">
        <v>33</v>
      </c>
      <c r="C126" s="95"/>
      <c r="D126" s="95"/>
      <c r="E126" s="95"/>
      <c r="F126" s="96"/>
      <c r="G126" s="97"/>
    </row>
    <row r="127" spans="1:7" outlineLevel="1" x14ac:dyDescent="0.25">
      <c r="A127" s="227">
        <v>18</v>
      </c>
      <c r="B127" s="11" t="s">
        <v>38</v>
      </c>
      <c r="C127" s="21" t="s">
        <v>183</v>
      </c>
      <c r="D127" s="118">
        <v>500</v>
      </c>
      <c r="E127" s="119">
        <f>D127*0.85</f>
        <v>425</v>
      </c>
      <c r="F127" s="24">
        <v>0.2</v>
      </c>
      <c r="G127" s="23" t="s">
        <v>34</v>
      </c>
    </row>
    <row r="128" spans="1:7" ht="26.25" outlineLevel="1" thickBot="1" x14ac:dyDescent="0.3">
      <c r="A128" s="228">
        <v>19</v>
      </c>
      <c r="B128" s="12" t="s">
        <v>39</v>
      </c>
      <c r="C128" s="54" t="s">
        <v>185</v>
      </c>
      <c r="D128" s="123">
        <f>12500*1.04</f>
        <v>13000</v>
      </c>
      <c r="E128" s="123">
        <f>D128*0.85</f>
        <v>11050</v>
      </c>
      <c r="F128" s="24">
        <v>0.2</v>
      </c>
      <c r="G128" s="14" t="s">
        <v>1116</v>
      </c>
    </row>
    <row r="129" spans="1:7" ht="64.5" outlineLevel="1" thickBot="1" x14ac:dyDescent="0.3">
      <c r="A129" s="221"/>
      <c r="B129" s="15" t="s">
        <v>829</v>
      </c>
      <c r="C129" s="16"/>
      <c r="D129" s="17"/>
      <c r="E129" s="17"/>
      <c r="F129" s="17"/>
      <c r="G129" s="18" t="s">
        <v>1046</v>
      </c>
    </row>
    <row r="130" spans="1:7" ht="77.25" outlineLevel="1" thickBot="1" x14ac:dyDescent="0.3">
      <c r="A130" s="215">
        <v>20</v>
      </c>
      <c r="B130" s="291" t="s">
        <v>1454</v>
      </c>
      <c r="C130" s="174" t="s">
        <v>380</v>
      </c>
      <c r="D130" s="83">
        <v>0.2</v>
      </c>
      <c r="E130" s="83">
        <v>0.2</v>
      </c>
      <c r="F130" s="110">
        <v>0.2</v>
      </c>
      <c r="G130" s="105" t="s">
        <v>1048</v>
      </c>
    </row>
    <row r="131" spans="1:7" ht="102.75" outlineLevel="1" thickBot="1" x14ac:dyDescent="0.3">
      <c r="A131" s="215">
        <v>21</v>
      </c>
      <c r="B131" s="213" t="s">
        <v>1455</v>
      </c>
      <c r="C131" s="174" t="s">
        <v>675</v>
      </c>
      <c r="D131" s="83">
        <v>0.2</v>
      </c>
      <c r="E131" s="83">
        <v>0.2</v>
      </c>
      <c r="F131" s="110">
        <v>0.2</v>
      </c>
      <c r="G131" s="6" t="s">
        <v>1313</v>
      </c>
    </row>
    <row r="132" spans="1:7" ht="77.25" outlineLevel="1" thickBot="1" x14ac:dyDescent="0.3">
      <c r="A132" s="215">
        <v>22</v>
      </c>
      <c r="B132" s="290" t="s">
        <v>1456</v>
      </c>
      <c r="C132" s="174" t="s">
        <v>676</v>
      </c>
      <c r="D132" s="83">
        <v>0.2</v>
      </c>
      <c r="E132" s="83">
        <v>0.2</v>
      </c>
      <c r="F132" s="110">
        <v>0.2</v>
      </c>
      <c r="G132" s="318" t="s">
        <v>1314</v>
      </c>
    </row>
    <row r="133" spans="1:7" ht="77.25" thickBot="1" x14ac:dyDescent="0.3">
      <c r="A133" s="215">
        <v>23</v>
      </c>
      <c r="B133" s="169" t="s">
        <v>1457</v>
      </c>
      <c r="C133" s="174" t="s">
        <v>424</v>
      </c>
      <c r="D133" s="13">
        <v>0.3</v>
      </c>
      <c r="E133" s="13">
        <v>0.3</v>
      </c>
      <c r="F133" s="110">
        <v>0.2</v>
      </c>
      <c r="G133" s="6" t="s">
        <v>1039</v>
      </c>
    </row>
    <row r="134" spans="1:7" ht="77.25" outlineLevel="1" thickBot="1" x14ac:dyDescent="0.3">
      <c r="A134" s="215">
        <v>24</v>
      </c>
      <c r="B134" s="169" t="s">
        <v>1458</v>
      </c>
      <c r="C134" s="174" t="s">
        <v>677</v>
      </c>
      <c r="D134" s="13">
        <v>0.3</v>
      </c>
      <c r="E134" s="13">
        <v>0.3</v>
      </c>
      <c r="F134" s="110">
        <v>0.2</v>
      </c>
      <c r="G134" s="6" t="s">
        <v>1320</v>
      </c>
    </row>
    <row r="135" spans="1:7" ht="77.25" outlineLevel="1" thickBot="1" x14ac:dyDescent="0.3">
      <c r="A135" s="215">
        <v>25</v>
      </c>
      <c r="B135" s="169" t="s">
        <v>1459</v>
      </c>
      <c r="C135" s="174" t="s">
        <v>678</v>
      </c>
      <c r="D135" s="13">
        <v>0.3</v>
      </c>
      <c r="E135" s="13">
        <v>0.3</v>
      </c>
      <c r="F135" s="110">
        <v>0.2</v>
      </c>
      <c r="G135" s="6" t="s">
        <v>1041</v>
      </c>
    </row>
    <row r="136" spans="1:7" ht="115.5" thickBot="1" x14ac:dyDescent="0.3">
      <c r="A136" s="215">
        <v>26</v>
      </c>
      <c r="B136" s="170" t="s">
        <v>1460</v>
      </c>
      <c r="C136" s="174" t="s">
        <v>425</v>
      </c>
      <c r="D136" s="147">
        <v>0.35</v>
      </c>
      <c r="E136" s="147">
        <v>0.35</v>
      </c>
      <c r="F136" s="110">
        <v>0.2</v>
      </c>
      <c r="G136" s="6" t="s">
        <v>1043</v>
      </c>
    </row>
    <row r="137" spans="1:7" ht="115.5" outlineLevel="1" thickBot="1" x14ac:dyDescent="0.3">
      <c r="A137" s="215">
        <v>27</v>
      </c>
      <c r="B137" s="170" t="s">
        <v>1461</v>
      </c>
      <c r="C137" s="174" t="s">
        <v>679</v>
      </c>
      <c r="D137" s="147">
        <v>0.35</v>
      </c>
      <c r="E137" s="147">
        <v>0.35</v>
      </c>
      <c r="F137" s="110">
        <v>0.2</v>
      </c>
      <c r="G137" s="6" t="s">
        <v>1044</v>
      </c>
    </row>
    <row r="138" spans="1:7" ht="115.5" outlineLevel="1" thickBot="1" x14ac:dyDescent="0.3">
      <c r="A138" s="215">
        <v>28</v>
      </c>
      <c r="B138" s="170" t="s">
        <v>1462</v>
      </c>
      <c r="C138" s="174" t="s">
        <v>680</v>
      </c>
      <c r="D138" s="147">
        <v>0.35</v>
      </c>
      <c r="E138" s="147">
        <v>0.35</v>
      </c>
      <c r="F138" s="110">
        <v>0.2</v>
      </c>
      <c r="G138" s="6" t="s">
        <v>1045</v>
      </c>
    </row>
    <row r="139" spans="1:7" ht="39" outlineLevel="1" thickBot="1" x14ac:dyDescent="0.3">
      <c r="A139" s="215">
        <v>29</v>
      </c>
      <c r="B139" s="149" t="s">
        <v>1463</v>
      </c>
      <c r="C139" s="174" t="s">
        <v>431</v>
      </c>
      <c r="D139" s="110">
        <v>0.15</v>
      </c>
      <c r="E139" s="110">
        <v>0.15</v>
      </c>
      <c r="F139" s="110">
        <v>0.2</v>
      </c>
      <c r="G139" s="6" t="s">
        <v>1047</v>
      </c>
    </row>
    <row r="140" spans="1:7" ht="39" outlineLevel="1" thickBot="1" x14ac:dyDescent="0.3">
      <c r="A140" s="215">
        <v>30</v>
      </c>
      <c r="B140" s="150" t="s">
        <v>1464</v>
      </c>
      <c r="C140" s="176" t="s">
        <v>436</v>
      </c>
      <c r="D140" s="111">
        <v>0.25</v>
      </c>
      <c r="E140" s="111">
        <v>0.25</v>
      </c>
      <c r="F140" s="111">
        <v>0.2</v>
      </c>
      <c r="G140" s="14" t="s">
        <v>1047</v>
      </c>
    </row>
    <row r="141" spans="1:7" ht="165" customHeight="1" outlineLevel="1" x14ac:dyDescent="0.25"/>
    <row r="142" spans="1:7" ht="166.5" customHeight="1" outlineLevel="1" x14ac:dyDescent="0.25"/>
    <row r="143" spans="1:7" ht="195" customHeight="1" outlineLevel="1" x14ac:dyDescent="0.25"/>
    <row r="144" spans="1:7" ht="209.25" customHeight="1" outlineLevel="1" x14ac:dyDescent="0.25"/>
    <row r="145" ht="196.5" customHeight="1" outlineLevel="1" x14ac:dyDescent="0.25"/>
    <row r="146" ht="59.25" customHeight="1" outlineLevel="1" x14ac:dyDescent="0.25"/>
    <row r="147" ht="64.5" customHeight="1" outlineLevel="1" x14ac:dyDescent="0.25"/>
    <row r="151" ht="30" customHeight="1" x14ac:dyDescent="0.25"/>
    <row r="152" ht="30" customHeight="1" x14ac:dyDescent="0.25"/>
    <row r="153" ht="30" customHeight="1" x14ac:dyDescent="0.25"/>
    <row r="158" ht="30.75" customHeight="1" x14ac:dyDescent="0.25"/>
    <row r="159" ht="30.75" customHeight="1" x14ac:dyDescent="0.25"/>
    <row r="160" ht="30.75" customHeight="1" x14ac:dyDescent="0.25"/>
    <row r="165" ht="30" customHeight="1" x14ac:dyDescent="0.25"/>
    <row r="166" ht="30" customHeight="1" x14ac:dyDescent="0.25"/>
    <row r="167" ht="30" customHeight="1" x14ac:dyDescent="0.25"/>
    <row r="172" ht="30" customHeight="1" x14ac:dyDescent="0.25"/>
    <row r="173" ht="30" customHeight="1" x14ac:dyDescent="0.25"/>
    <row r="174" ht="30" customHeight="1" x14ac:dyDescent="0.25"/>
    <row r="179" ht="30.75" customHeight="1" x14ac:dyDescent="0.25"/>
    <row r="180" ht="30.75" customHeight="1" x14ac:dyDescent="0.25"/>
    <row r="181" ht="30.75" customHeight="1" x14ac:dyDescent="0.25"/>
    <row r="186" ht="31.5" customHeight="1" x14ac:dyDescent="0.25"/>
    <row r="187" ht="31.5" customHeight="1" x14ac:dyDescent="0.25"/>
    <row r="188" ht="31.5" customHeight="1" x14ac:dyDescent="0.25"/>
    <row r="193" ht="30.75" customHeight="1" x14ac:dyDescent="0.25"/>
    <row r="194" ht="30.75" customHeight="1" x14ac:dyDescent="0.25"/>
    <row r="195" ht="30.75" customHeight="1" x14ac:dyDescent="0.25"/>
    <row r="200" ht="30" customHeight="1" x14ac:dyDescent="0.25"/>
    <row r="201" ht="30" customHeight="1" x14ac:dyDescent="0.25"/>
    <row r="202" ht="30" customHeight="1" x14ac:dyDescent="0.25"/>
    <row r="207" ht="30.75" customHeight="1" x14ac:dyDescent="0.25"/>
    <row r="208" ht="30.75" customHeight="1" x14ac:dyDescent="0.25"/>
    <row r="209" ht="30.75" customHeight="1" x14ac:dyDescent="0.25"/>
    <row r="214" ht="30" customHeight="1" x14ac:dyDescent="0.25"/>
    <row r="215" ht="30" customHeight="1" x14ac:dyDescent="0.25"/>
    <row r="216" ht="30" customHeight="1" x14ac:dyDescent="0.25"/>
    <row r="221" ht="30.75" customHeight="1" x14ac:dyDescent="0.25"/>
    <row r="222" ht="30.75" customHeight="1" x14ac:dyDescent="0.25"/>
    <row r="223" ht="30.75" customHeight="1" x14ac:dyDescent="0.25"/>
    <row r="228" ht="31.5" customHeight="1" x14ac:dyDescent="0.25"/>
    <row r="229" ht="31.5" customHeight="1" x14ac:dyDescent="0.25"/>
    <row r="230" ht="31.5" customHeight="1" x14ac:dyDescent="0.25"/>
    <row r="235" ht="30" customHeight="1" x14ac:dyDescent="0.25"/>
    <row r="236" ht="30" customHeight="1" x14ac:dyDescent="0.25"/>
    <row r="237" ht="30" customHeight="1" x14ac:dyDescent="0.25"/>
    <row r="242" ht="30.75" customHeight="1" x14ac:dyDescent="0.25"/>
    <row r="243" ht="30.75" customHeight="1" x14ac:dyDescent="0.25"/>
    <row r="244" ht="30.75" customHeight="1" x14ac:dyDescent="0.25"/>
    <row r="249" ht="30" customHeight="1" x14ac:dyDescent="0.25"/>
    <row r="250" ht="30" customHeight="1" x14ac:dyDescent="0.25"/>
    <row r="251" ht="30" customHeight="1" x14ac:dyDescent="0.25"/>
    <row r="256" ht="30.75" customHeight="1" x14ac:dyDescent="0.25"/>
    <row r="257" ht="30.75" customHeight="1" x14ac:dyDescent="0.25"/>
    <row r="258" ht="30.75" customHeight="1" x14ac:dyDescent="0.25"/>
    <row r="263" ht="30" customHeight="1" x14ac:dyDescent="0.25"/>
    <row r="264" ht="30" customHeight="1" x14ac:dyDescent="0.25"/>
    <row r="265" ht="30" customHeight="1" x14ac:dyDescent="0.25"/>
    <row r="270" ht="30.75" customHeight="1" x14ac:dyDescent="0.25"/>
    <row r="271" ht="30.75" customHeight="1" x14ac:dyDescent="0.25"/>
    <row r="272" ht="30.75" customHeight="1" x14ac:dyDescent="0.25"/>
    <row r="277" ht="30.75" customHeight="1" x14ac:dyDescent="0.25"/>
    <row r="278" ht="30.75" customHeight="1" x14ac:dyDescent="0.25"/>
    <row r="279" ht="30.75" customHeight="1" x14ac:dyDescent="0.25"/>
    <row r="284" ht="32.25" customHeight="1" x14ac:dyDescent="0.25"/>
    <row r="285" ht="32.25" customHeight="1" x14ac:dyDescent="0.25"/>
    <row r="286" ht="32.25" customHeight="1" x14ac:dyDescent="0.25"/>
    <row r="291" ht="30" customHeight="1" x14ac:dyDescent="0.25"/>
    <row r="292" ht="30" customHeight="1" x14ac:dyDescent="0.25"/>
    <row r="293" ht="30" customHeight="1" x14ac:dyDescent="0.25"/>
    <row r="298" ht="30" customHeight="1" x14ac:dyDescent="0.25"/>
    <row r="299" ht="30" customHeight="1" x14ac:dyDescent="0.25"/>
    <row r="300" ht="30" customHeight="1" x14ac:dyDescent="0.25"/>
    <row r="305" ht="30" customHeight="1" x14ac:dyDescent="0.25"/>
    <row r="306" ht="30" customHeight="1" x14ac:dyDescent="0.25"/>
    <row r="307" ht="30" customHeight="1" x14ac:dyDescent="0.25"/>
    <row r="312" ht="30" customHeight="1" x14ac:dyDescent="0.25"/>
    <row r="313" ht="30" customHeight="1" x14ac:dyDescent="0.25"/>
    <row r="314" ht="30" customHeight="1" x14ac:dyDescent="0.25"/>
    <row r="319" ht="31.5" customHeight="1" x14ac:dyDescent="0.25"/>
    <row r="320" ht="31.5" customHeight="1" x14ac:dyDescent="0.25"/>
    <row r="321" ht="31.5" customHeight="1" x14ac:dyDescent="0.25"/>
    <row r="326" ht="31.5" customHeight="1" x14ac:dyDescent="0.25"/>
    <row r="327" ht="31.5" customHeight="1" x14ac:dyDescent="0.25"/>
    <row r="328" ht="31.5" customHeight="1" x14ac:dyDescent="0.25"/>
    <row r="333" ht="30" customHeight="1" x14ac:dyDescent="0.25"/>
    <row r="334" ht="30" customHeight="1" x14ac:dyDescent="0.25"/>
    <row r="335" ht="30" customHeight="1" x14ac:dyDescent="0.25"/>
    <row r="340" ht="30" customHeight="1" x14ac:dyDescent="0.25"/>
    <row r="341" ht="30" customHeight="1" x14ac:dyDescent="0.25"/>
    <row r="342" ht="30" customHeight="1" x14ac:dyDescent="0.25"/>
    <row r="347" ht="30" customHeight="1" x14ac:dyDescent="0.25"/>
    <row r="348" ht="30" customHeight="1" x14ac:dyDescent="0.25"/>
    <row r="349" ht="30" customHeight="1" x14ac:dyDescent="0.25"/>
    <row r="350" ht="15" customHeight="1" x14ac:dyDescent="0.25"/>
    <row r="351" ht="37.5" customHeight="1" x14ac:dyDescent="0.25"/>
    <row r="352" ht="30" customHeight="1" x14ac:dyDescent="0.25"/>
    <row r="353" ht="15" customHeight="1" x14ac:dyDescent="0.25"/>
    <row r="354" ht="30" customHeight="1" x14ac:dyDescent="0.25"/>
    <row r="355" ht="30" customHeight="1" x14ac:dyDescent="0.25"/>
    <row r="356" ht="30" customHeight="1" x14ac:dyDescent="0.25"/>
    <row r="361" ht="30" customHeight="1" x14ac:dyDescent="0.25"/>
    <row r="362" ht="30" customHeight="1" x14ac:dyDescent="0.25"/>
    <row r="363" ht="30" customHeight="1" x14ac:dyDescent="0.25"/>
    <row r="368" ht="30" customHeight="1" x14ac:dyDescent="0.25"/>
    <row r="369" ht="30" customHeight="1" x14ac:dyDescent="0.25"/>
    <row r="370" ht="30" customHeight="1" x14ac:dyDescent="0.25"/>
    <row r="375" ht="30.75" customHeight="1" x14ac:dyDescent="0.25"/>
    <row r="376" ht="30.75" customHeight="1" x14ac:dyDescent="0.25"/>
    <row r="377" ht="30.75" customHeight="1" x14ac:dyDescent="0.25"/>
    <row r="382" ht="31.5" customHeight="1" x14ac:dyDescent="0.25"/>
    <row r="383" ht="31.5" customHeight="1" x14ac:dyDescent="0.25"/>
    <row r="384" ht="31.5" customHeight="1" x14ac:dyDescent="0.25"/>
    <row r="389" ht="31.5" customHeight="1" x14ac:dyDescent="0.25"/>
    <row r="390" ht="32.25" customHeight="1" x14ac:dyDescent="0.25"/>
    <row r="391" ht="31.5" customHeight="1" x14ac:dyDescent="0.25"/>
    <row r="396" ht="25.5" customHeight="1" x14ac:dyDescent="0.25"/>
    <row r="397" ht="21" customHeight="1" x14ac:dyDescent="0.25"/>
    <row r="398" ht="24" customHeight="1" x14ac:dyDescent="0.25"/>
  </sheetData>
  <mergeCells count="20">
    <mergeCell ref="A56:A58"/>
    <mergeCell ref="A42:A44"/>
    <mergeCell ref="A49:A51"/>
    <mergeCell ref="A14:A16"/>
    <mergeCell ref="G1:G7"/>
    <mergeCell ref="A1:F6"/>
    <mergeCell ref="A7:F7"/>
    <mergeCell ref="A35:A37"/>
    <mergeCell ref="A21:A23"/>
    <mergeCell ref="A28:A30"/>
    <mergeCell ref="B9:G9"/>
    <mergeCell ref="A112:A114"/>
    <mergeCell ref="A119:A121"/>
    <mergeCell ref="A105:A107"/>
    <mergeCell ref="A63:A65"/>
    <mergeCell ref="A98:A100"/>
    <mergeCell ref="A91:A93"/>
    <mergeCell ref="A70:A72"/>
    <mergeCell ref="A77:A79"/>
    <mergeCell ref="A84:A86"/>
  </mergeCell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>
    <oddHeader>&amp;F</oddHeader>
    <oddFooter>&amp;CDiamond VPN/FW - FW;Страница  &amp;P из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402"/>
  <sheetViews>
    <sheetView showGridLines="0" showRowColHeaders="0" zoomScale="70" zoomScaleNormal="70" workbookViewId="0">
      <pane xSplit="7" ySplit="8" topLeftCell="H119" activePane="bottomRight" state="frozen"/>
      <selection pane="topRight" activeCell="H1" sqref="H1"/>
      <selection pane="bottomLeft" activeCell="A9" sqref="A9"/>
      <selection pane="bottomRight" activeCell="G121" sqref="G121"/>
    </sheetView>
  </sheetViews>
  <sheetFormatPr defaultRowHeight="15" outlineLevelRow="1" x14ac:dyDescent="0.25"/>
  <cols>
    <col min="1" max="1" width="5" customWidth="1"/>
    <col min="2" max="2" width="100.7109375" customWidth="1"/>
    <col min="3" max="3" width="12.140625" customWidth="1"/>
    <col min="4" max="5" width="15.7109375" customWidth="1"/>
    <col min="6" max="6" width="11.42578125" customWidth="1"/>
    <col min="7" max="7" width="79.7109375" customWidth="1"/>
    <col min="8" max="8" width="16.28515625" customWidth="1"/>
    <col min="9" max="9" width="14" customWidth="1"/>
    <col min="10" max="10" width="57.5703125" customWidth="1"/>
  </cols>
  <sheetData>
    <row r="1" spans="1:9" ht="15.75" customHeight="1" x14ac:dyDescent="0.25">
      <c r="A1" s="451" t="s">
        <v>1680</v>
      </c>
      <c r="B1" s="451"/>
      <c r="C1" s="451"/>
      <c r="D1" s="451"/>
      <c r="E1" s="451"/>
      <c r="F1" s="451"/>
      <c r="G1" s="465" t="s">
        <v>40</v>
      </c>
      <c r="H1" s="189" t="s">
        <v>1026</v>
      </c>
    </row>
    <row r="2" spans="1:9" ht="15.75" customHeight="1" x14ac:dyDescent="0.25">
      <c r="A2" s="451"/>
      <c r="B2" s="451"/>
      <c r="C2" s="451"/>
      <c r="D2" s="451"/>
      <c r="E2" s="451"/>
      <c r="F2" s="451"/>
      <c r="G2" s="465"/>
      <c r="H2" s="189" t="s">
        <v>939</v>
      </c>
    </row>
    <row r="3" spans="1:9" x14ac:dyDescent="0.25">
      <c r="A3" s="451"/>
      <c r="B3" s="451"/>
      <c r="C3" s="451"/>
      <c r="D3" s="451"/>
      <c r="E3" s="451"/>
      <c r="F3" s="451"/>
      <c r="G3" s="465"/>
      <c r="H3" s="191" t="s">
        <v>1027</v>
      </c>
    </row>
    <row r="4" spans="1:9" ht="15.75" customHeight="1" x14ac:dyDescent="0.25">
      <c r="A4" s="451"/>
      <c r="B4" s="451"/>
      <c r="C4" s="451"/>
      <c r="D4" s="451"/>
      <c r="E4" s="451"/>
      <c r="F4" s="451"/>
      <c r="G4" s="465"/>
      <c r="H4" s="189" t="s">
        <v>1028</v>
      </c>
      <c r="I4" s="189"/>
    </row>
    <row r="5" spans="1:9" x14ac:dyDescent="0.25">
      <c r="A5" s="451"/>
      <c r="B5" s="451"/>
      <c r="C5" s="451"/>
      <c r="D5" s="451"/>
      <c r="E5" s="451"/>
      <c r="F5" s="451"/>
      <c r="G5" s="465"/>
      <c r="H5" s="189" t="s">
        <v>1062</v>
      </c>
      <c r="I5" s="189"/>
    </row>
    <row r="6" spans="1:9" ht="15.75" customHeight="1" x14ac:dyDescent="0.25">
      <c r="A6" s="451"/>
      <c r="B6" s="451"/>
      <c r="C6" s="451"/>
      <c r="D6" s="451"/>
      <c r="E6" s="451"/>
      <c r="F6" s="451"/>
      <c r="G6" s="465"/>
      <c r="H6" s="189" t="s">
        <v>1063</v>
      </c>
      <c r="I6" s="189"/>
    </row>
    <row r="7" spans="1:9" ht="18" customHeight="1" thickBot="1" x14ac:dyDescent="0.3">
      <c r="A7" s="453" t="str">
        <f>'Diamond ACS'!A7:G7</f>
        <v>Срок действия: с 01.01.21</v>
      </c>
      <c r="B7" s="453"/>
      <c r="C7" s="453"/>
      <c r="D7" s="453"/>
      <c r="E7" s="453"/>
      <c r="F7" s="453"/>
      <c r="G7" s="466"/>
      <c r="H7" s="189" t="s">
        <v>1064</v>
      </c>
      <c r="I7" s="189"/>
    </row>
    <row r="8" spans="1:9" ht="26.25" thickBot="1" x14ac:dyDescent="0.3">
      <c r="A8" s="74" t="s">
        <v>13</v>
      </c>
      <c r="B8" s="27" t="s">
        <v>0</v>
      </c>
      <c r="C8" s="28" t="s">
        <v>1</v>
      </c>
      <c r="D8" s="28" t="s">
        <v>927</v>
      </c>
      <c r="E8" s="28" t="s">
        <v>766</v>
      </c>
      <c r="F8" s="28" t="s">
        <v>3</v>
      </c>
      <c r="G8" s="30" t="s">
        <v>828</v>
      </c>
      <c r="H8" s="189" t="s">
        <v>1065</v>
      </c>
      <c r="I8" s="189"/>
    </row>
    <row r="9" spans="1:9" ht="42" customHeight="1" thickBot="1" x14ac:dyDescent="0.3">
      <c r="A9" s="75"/>
      <c r="B9" s="455" t="s">
        <v>1502</v>
      </c>
      <c r="C9" s="444"/>
      <c r="D9" s="444"/>
      <c r="E9" s="444"/>
      <c r="F9" s="444"/>
      <c r="G9" s="445"/>
      <c r="H9" s="189" t="s">
        <v>1066</v>
      </c>
      <c r="I9" s="189"/>
    </row>
    <row r="10" spans="1:9" ht="15" hidden="1" customHeight="1" x14ac:dyDescent="0.25">
      <c r="A10" s="456" t="s">
        <v>45</v>
      </c>
      <c r="B10" s="58" t="s">
        <v>1067</v>
      </c>
      <c r="C10" s="49"/>
      <c r="D10" s="50"/>
      <c r="E10" s="104"/>
      <c r="F10" s="51"/>
      <c r="G10" s="59"/>
      <c r="H10" s="189" t="s">
        <v>1068</v>
      </c>
      <c r="I10" s="189"/>
    </row>
    <row r="11" spans="1:9" ht="37.5" hidden="1" customHeight="1" outlineLevel="1" x14ac:dyDescent="0.25">
      <c r="A11" s="457"/>
      <c r="B11" s="42" t="s">
        <v>1103</v>
      </c>
      <c r="C11" s="43"/>
      <c r="D11" s="121"/>
      <c r="E11" s="122"/>
      <c r="F11" s="45"/>
      <c r="G11" s="46"/>
      <c r="H11" s="189" t="s">
        <v>1069</v>
      </c>
      <c r="I11" s="189"/>
    </row>
    <row r="12" spans="1:9" ht="30" hidden="1" customHeight="1" outlineLevel="1" x14ac:dyDescent="0.25">
      <c r="A12" s="458"/>
      <c r="B12" s="42" t="s">
        <v>1050</v>
      </c>
      <c r="C12" s="43"/>
      <c r="D12" s="121"/>
      <c r="E12" s="122"/>
      <c r="F12" s="44"/>
      <c r="G12" s="46"/>
      <c r="H12" s="189" t="s">
        <v>1070</v>
      </c>
      <c r="I12" s="189"/>
    </row>
    <row r="13" spans="1:9" ht="44.25" hidden="1" customHeight="1" outlineLevel="1" x14ac:dyDescent="0.25">
      <c r="A13" s="90" t="s">
        <v>46</v>
      </c>
      <c r="B13" s="22" t="s">
        <v>1090</v>
      </c>
      <c r="C13" s="21"/>
      <c r="D13" s="118"/>
      <c r="E13" s="118"/>
      <c r="F13" s="24"/>
      <c r="G13" s="91"/>
      <c r="H13" s="189" t="s">
        <v>1071</v>
      </c>
      <c r="I13" s="189"/>
    </row>
    <row r="14" spans="1:9" ht="30" hidden="1" customHeight="1" outlineLevel="1" x14ac:dyDescent="0.25">
      <c r="A14" s="100" t="s">
        <v>55</v>
      </c>
      <c r="B14" s="31" t="str">
        <f>CONCATENATE(H1,H5)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- 1101. Версия IDS»</v>
      </c>
      <c r="C14" s="5"/>
      <c r="D14" s="120"/>
      <c r="E14" s="120"/>
      <c r="F14" s="107"/>
      <c r="G14" s="92"/>
      <c r="H14" s="189" t="s">
        <v>1072</v>
      </c>
      <c r="I14" s="189"/>
    </row>
    <row r="15" spans="1:9" ht="30" hidden="1" customHeight="1" outlineLevel="1" x14ac:dyDescent="0.25">
      <c r="A15" s="195" t="s">
        <v>528</v>
      </c>
      <c r="B15" s="22" t="str">
        <f>CONCATENATE(H3,H5)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- 1101. Версия IDS»</v>
      </c>
      <c r="C15" s="21"/>
      <c r="D15" s="118"/>
      <c r="E15" s="118"/>
      <c r="F15" s="107"/>
      <c r="G15" s="91"/>
      <c r="H15" s="189" t="s">
        <v>1073</v>
      </c>
      <c r="I15" s="189"/>
    </row>
    <row r="16" spans="1:9" ht="30" hidden="1" customHeight="1" outlineLevel="1" thickBot="1" x14ac:dyDescent="0.3">
      <c r="A16" s="89" t="s">
        <v>529</v>
      </c>
      <c r="B16" s="166" t="str">
        <f>CONCATENATE(H4,H5)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- 1101. Версия IDS»</v>
      </c>
      <c r="C16" s="54"/>
      <c r="D16" s="123"/>
      <c r="E16" s="123"/>
      <c r="F16" s="60"/>
      <c r="G16" s="55"/>
      <c r="H16" s="189" t="s">
        <v>1074</v>
      </c>
      <c r="I16" s="189"/>
    </row>
    <row r="17" spans="1:9" collapsed="1" x14ac:dyDescent="0.25">
      <c r="A17" s="456" t="s">
        <v>45</v>
      </c>
      <c r="B17" s="58" t="s">
        <v>1075</v>
      </c>
      <c r="C17" s="49"/>
      <c r="D17" s="124"/>
      <c r="E17" s="125"/>
      <c r="F17" s="51"/>
      <c r="G17" s="53"/>
      <c r="H17" s="189" t="s">
        <v>1076</v>
      </c>
      <c r="I17" s="189"/>
    </row>
    <row r="18" spans="1:9" ht="38.25" customHeight="1" outlineLevel="1" x14ac:dyDescent="0.25">
      <c r="A18" s="457"/>
      <c r="B18" s="42" t="s">
        <v>1104</v>
      </c>
      <c r="C18" s="43" t="str">
        <f>'[1]Diamond VPN FW - UTM'!C15</f>
        <v>BF-2-025</v>
      </c>
      <c r="D18" s="121">
        <f>'Diamond VPN FW - UTM'!D22</f>
        <v>58913</v>
      </c>
      <c r="E18" s="122">
        <f>ROUNDUP(D18*0.95,0)</f>
        <v>55968</v>
      </c>
      <c r="F18" s="45">
        <v>0.2</v>
      </c>
      <c r="G18" s="47" t="str">
        <f>'Diamond VPN FW - UTM'!G22</f>
        <v>4 x RJ45 GbE. 2 x USB 2.0. Настольное исполнение. Уголки для крепления в стойку продаются отдельно.</v>
      </c>
      <c r="H18" s="189"/>
      <c r="I18" s="189"/>
    </row>
    <row r="19" spans="1:9" ht="30" customHeight="1" outlineLevel="1" x14ac:dyDescent="0.25">
      <c r="A19" s="458"/>
      <c r="B19" s="42" t="s">
        <v>1051</v>
      </c>
      <c r="C19" s="43" t="s">
        <v>155</v>
      </c>
      <c r="D19" s="121">
        <f>ROUNDUP(73715*1.4,0)</f>
        <v>103201</v>
      </c>
      <c r="E19" s="122">
        <f>ROUNDUP(D19*0.85,0)</f>
        <v>87721</v>
      </c>
      <c r="F19" s="44" t="s">
        <v>4</v>
      </c>
      <c r="G19" s="46"/>
    </row>
    <row r="20" spans="1:9" ht="54.75" customHeight="1" outlineLevel="1" x14ac:dyDescent="0.25">
      <c r="A20" s="350" t="s">
        <v>46</v>
      </c>
      <c r="B20" s="31" t="s">
        <v>1091</v>
      </c>
      <c r="C20" s="5" t="s">
        <v>156</v>
      </c>
      <c r="D20" s="120">
        <f>ROUNDUP(D18+(D19*1.2),0)</f>
        <v>182755</v>
      </c>
      <c r="E20" s="120">
        <f>ROUNDUP(E18+(E19*1.2),0)</f>
        <v>161234</v>
      </c>
      <c r="F20" s="24">
        <v>0.2</v>
      </c>
      <c r="G20" s="91" t="s">
        <v>1590</v>
      </c>
    </row>
    <row r="21" spans="1:9" ht="30" customHeight="1" outlineLevel="1" x14ac:dyDescent="0.25">
      <c r="A21" s="100" t="s">
        <v>55</v>
      </c>
      <c r="B21" s="31" t="str">
        <f>CONCATENATE(H1,H6)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- 2111. Версия IDS»</v>
      </c>
      <c r="C21" s="5" t="s">
        <v>108</v>
      </c>
      <c r="D21" s="120">
        <f>ROUNDUP((D18+D19)*0.2,0)</f>
        <v>32423</v>
      </c>
      <c r="E21" s="120">
        <f>ROUNDUP((E18+E19)*0.2,0)</f>
        <v>28738</v>
      </c>
      <c r="F21" s="107">
        <v>0.2</v>
      </c>
      <c r="G21" s="4"/>
    </row>
    <row r="22" spans="1:9" ht="30" customHeight="1" outlineLevel="1" x14ac:dyDescent="0.25">
      <c r="A22" s="350" t="s">
        <v>528</v>
      </c>
      <c r="B22" s="22" t="str">
        <f>CONCATENATE(H3,H6)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- 2111. Версия IDS»</v>
      </c>
      <c r="C22" s="21" t="s">
        <v>532</v>
      </c>
      <c r="D22" s="118">
        <f>ROUNDUP(D21*0.97*3,0)</f>
        <v>94351</v>
      </c>
      <c r="E22" s="118">
        <f>ROUNDUP(E21*0.97*3,0)</f>
        <v>83628</v>
      </c>
      <c r="F22" s="107">
        <v>0.2</v>
      </c>
      <c r="G22" s="23"/>
      <c r="H22" s="189" t="s">
        <v>1587</v>
      </c>
    </row>
    <row r="23" spans="1:9" ht="30" customHeight="1" outlineLevel="1" thickBot="1" x14ac:dyDescent="0.3">
      <c r="A23" s="89" t="s">
        <v>529</v>
      </c>
      <c r="B23" s="166" t="str">
        <f>CONCATENATE(H4,H6)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- 2111. Версия IDS»</v>
      </c>
      <c r="C23" s="54" t="s">
        <v>544</v>
      </c>
      <c r="D23" s="123">
        <f>ROUNDUP(D21*0.95*5,0)</f>
        <v>154010</v>
      </c>
      <c r="E23" s="123">
        <f>ROUNDUP(E21*0.95*5,0)</f>
        <v>136506</v>
      </c>
      <c r="F23" s="60">
        <v>0.2</v>
      </c>
      <c r="G23" s="14"/>
      <c r="H23" s="189" t="s">
        <v>1588</v>
      </c>
    </row>
    <row r="24" spans="1:9" x14ac:dyDescent="0.25">
      <c r="A24" s="425" t="s">
        <v>56</v>
      </c>
      <c r="B24" s="58" t="s">
        <v>1077</v>
      </c>
      <c r="C24" s="49"/>
      <c r="D24" s="124"/>
      <c r="E24" s="125"/>
      <c r="F24" s="51"/>
      <c r="G24" s="53"/>
      <c r="H24" s="189" t="s">
        <v>1589</v>
      </c>
    </row>
    <row r="25" spans="1:9" ht="37.5" customHeight="1" outlineLevel="1" x14ac:dyDescent="0.25">
      <c r="A25" s="425"/>
      <c r="B25" s="42" t="s">
        <v>1105</v>
      </c>
      <c r="C25" s="43" t="str">
        <f>'[1]Diamond VPN FW - UTM'!C22</f>
        <v>BF-2-028</v>
      </c>
      <c r="D25" s="121">
        <f>'Diamond VPN FW - UTM'!D29</f>
        <v>88875</v>
      </c>
      <c r="E25" s="122">
        <f>ROUNDUP(D25*0.95,0)</f>
        <v>84432</v>
      </c>
      <c r="F25" s="45">
        <v>0.2</v>
      </c>
      <c r="G25" s="47" t="str">
        <f>'Diamond VPN FW - UTM'!G29</f>
        <v>6 x RJ45 GbE. 2 x USB 2.0. Установка в стойку 1U. Только одиночный БП. Без мест для модулей расширения. Уголки для крепления в стойку входят в комплект.</v>
      </c>
    </row>
    <row r="26" spans="1:9" ht="30" customHeight="1" outlineLevel="1" x14ac:dyDescent="0.25">
      <c r="A26" s="426"/>
      <c r="B26" s="42" t="s">
        <v>1052</v>
      </c>
      <c r="C26" s="43" t="s">
        <v>157</v>
      </c>
      <c r="D26" s="121">
        <f>ROUNDUP(107030-4115,0)</f>
        <v>102915</v>
      </c>
      <c r="E26" s="122">
        <f>ROUNDUP(D26*0.85,0)</f>
        <v>87478</v>
      </c>
      <c r="F26" s="44" t="s">
        <v>4</v>
      </c>
      <c r="G26" s="46"/>
    </row>
    <row r="27" spans="1:9" ht="54.75" customHeight="1" outlineLevel="1" x14ac:dyDescent="0.25">
      <c r="A27" s="351" t="s">
        <v>96</v>
      </c>
      <c r="B27" s="31" t="s">
        <v>1092</v>
      </c>
      <c r="C27" s="5" t="s">
        <v>158</v>
      </c>
      <c r="D27" s="120">
        <f>ROUNDUP(D25+(D26*1.2),0)</f>
        <v>212373</v>
      </c>
      <c r="E27" s="120">
        <f>ROUNDUP(E25+(E26*1.2),0)</f>
        <v>189406</v>
      </c>
      <c r="F27" s="24">
        <v>0.2</v>
      </c>
      <c r="G27" s="91" t="s">
        <v>1591</v>
      </c>
    </row>
    <row r="28" spans="1:9" ht="30.75" customHeight="1" outlineLevel="1" x14ac:dyDescent="0.25">
      <c r="A28" s="350" t="s">
        <v>97</v>
      </c>
      <c r="B28" s="31" t="str">
        <f>CONCATENATE(H1,H7)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- 3101. Версия IDS»</v>
      </c>
      <c r="C28" s="5" t="s">
        <v>240</v>
      </c>
      <c r="D28" s="120">
        <f>ROUNDUP((D25+D26)*0.2,0)</f>
        <v>38358</v>
      </c>
      <c r="E28" s="120">
        <f>ROUNDUP((E25+E26)*0.2,0)</f>
        <v>34382</v>
      </c>
      <c r="F28" s="107">
        <v>0.2</v>
      </c>
      <c r="G28" s="4"/>
    </row>
    <row r="29" spans="1:9" ht="30.75" customHeight="1" outlineLevel="1" x14ac:dyDescent="0.25">
      <c r="A29" s="351" t="s">
        <v>475</v>
      </c>
      <c r="B29" s="22" t="str">
        <f>CONCATENATE(H3,H7)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- 3101. Версия IDS»</v>
      </c>
      <c r="C29" s="21" t="s">
        <v>533</v>
      </c>
      <c r="D29" s="118">
        <f>ROUNDUP(D28*0.97*3,0)</f>
        <v>111622</v>
      </c>
      <c r="E29" s="118">
        <f>ROUNDUP(E28*0.97*3,0)</f>
        <v>100052</v>
      </c>
      <c r="F29" s="107">
        <v>0.2</v>
      </c>
      <c r="G29" s="23"/>
    </row>
    <row r="30" spans="1:9" ht="30.75" customHeight="1" outlineLevel="1" thickBot="1" x14ac:dyDescent="0.3">
      <c r="A30" s="89" t="s">
        <v>476</v>
      </c>
      <c r="B30" s="166" t="str">
        <f>CONCATENATE(H4,H7)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- 3101. Версия IDS»</v>
      </c>
      <c r="C30" s="54" t="s">
        <v>545</v>
      </c>
      <c r="D30" s="123">
        <f>ROUNDUP(D28*0.95*5,0)</f>
        <v>182201</v>
      </c>
      <c r="E30" s="123">
        <f>ROUNDUP(E28*0.95*5,0)</f>
        <v>163315</v>
      </c>
      <c r="F30" s="60">
        <v>0.2</v>
      </c>
      <c r="G30" s="14"/>
    </row>
    <row r="31" spans="1:9" x14ac:dyDescent="0.25">
      <c r="A31" s="467" t="s">
        <v>57</v>
      </c>
      <c r="B31" s="58" t="s">
        <v>1078</v>
      </c>
      <c r="C31" s="49"/>
      <c r="D31" s="124"/>
      <c r="E31" s="125"/>
      <c r="F31" s="51"/>
      <c r="G31" s="53"/>
    </row>
    <row r="32" spans="1:9" ht="46.5" customHeight="1" outlineLevel="1" x14ac:dyDescent="0.25">
      <c r="A32" s="468"/>
      <c r="B32" s="42" t="s">
        <v>1106</v>
      </c>
      <c r="C32" s="43" t="str">
        <f>'[1]Diamond VPN FW - UTM'!C29</f>
        <v>BF-2-031</v>
      </c>
      <c r="D32" s="121">
        <f>'Diamond VPN FW - UTM'!D36</f>
        <v>114750</v>
      </c>
      <c r="E32" s="122">
        <f>ROUNDUP(D32*0.95,0)</f>
        <v>109013</v>
      </c>
      <c r="F32" s="45">
        <v>0.2</v>
      </c>
      <c r="G32" s="47" t="str">
        <f>'Diamond VPN FW - UTM'!G36</f>
        <v>6 x RJ45 GbE. 2 x USB 2.0. Установка в стойку 1U. Только одиночный БП. 1 место для модулей расширения. Уголки для крепления в стойку входят в комплект.</v>
      </c>
    </row>
    <row r="33" spans="1:10" ht="30" customHeight="1" outlineLevel="1" x14ac:dyDescent="0.25">
      <c r="A33" s="469"/>
      <c r="B33" s="42" t="s">
        <v>1053</v>
      </c>
      <c r="C33" s="43" t="s">
        <v>159</v>
      </c>
      <c r="D33" s="121">
        <f>ROUNDUP(120663-14301,0)</f>
        <v>106362</v>
      </c>
      <c r="E33" s="122">
        <f>ROUNDUP(D33*0.85,0)</f>
        <v>90408</v>
      </c>
      <c r="F33" s="44" t="s">
        <v>4</v>
      </c>
      <c r="G33" s="46"/>
    </row>
    <row r="34" spans="1:10" ht="54.75" customHeight="1" outlineLevel="1" x14ac:dyDescent="0.25">
      <c r="A34" s="351" t="s">
        <v>58</v>
      </c>
      <c r="B34" s="106" t="s">
        <v>1093</v>
      </c>
      <c r="C34" s="5" t="s">
        <v>160</v>
      </c>
      <c r="D34" s="120">
        <f>ROUNDUP(D32+(D33*1.2),0)</f>
        <v>242385</v>
      </c>
      <c r="E34" s="120">
        <f>ROUNDUP(E32+(E33*1.2),0)</f>
        <v>217503</v>
      </c>
      <c r="F34" s="24">
        <v>0.2</v>
      </c>
      <c r="G34" s="91" t="s">
        <v>1592</v>
      </c>
      <c r="J34" s="298"/>
    </row>
    <row r="35" spans="1:10" ht="30" customHeight="1" outlineLevel="1" x14ac:dyDescent="0.25">
      <c r="A35" s="350" t="s">
        <v>59</v>
      </c>
      <c r="B35" s="31" t="str">
        <f>CONCATENATE(H1,H8)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- 4101. Версия IDS»</v>
      </c>
      <c r="C35" s="5" t="s">
        <v>241</v>
      </c>
      <c r="D35" s="120">
        <f>ROUNDUP((D32+D33)*0.2,0)</f>
        <v>44223</v>
      </c>
      <c r="E35" s="120">
        <f>ROUNDUP((E32+E33)*0.2,0)</f>
        <v>39885</v>
      </c>
      <c r="F35" s="107">
        <v>0.2</v>
      </c>
      <c r="G35" s="4"/>
    </row>
    <row r="36" spans="1:10" ht="30" customHeight="1" outlineLevel="1" x14ac:dyDescent="0.25">
      <c r="A36" s="351" t="s">
        <v>477</v>
      </c>
      <c r="B36" s="22" t="str">
        <f>CONCATENATE(H3,H8)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- 4101. Версия IDS»</v>
      </c>
      <c r="C36" s="21" t="s">
        <v>534</v>
      </c>
      <c r="D36" s="118">
        <f>ROUNDUP(D35*0.97*3,0)</f>
        <v>128689</v>
      </c>
      <c r="E36" s="118">
        <f>ROUNDUP(E35*0.97*3,0)</f>
        <v>116066</v>
      </c>
      <c r="F36" s="107">
        <v>0.2</v>
      </c>
      <c r="G36" s="23"/>
    </row>
    <row r="37" spans="1:10" ht="30" customHeight="1" outlineLevel="1" thickBot="1" x14ac:dyDescent="0.3">
      <c r="A37" s="89" t="s">
        <v>478</v>
      </c>
      <c r="B37" s="166" t="str">
        <f>CONCATENATE(H4,H8)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- 4101. Версия IDS»</v>
      </c>
      <c r="C37" s="54" t="s">
        <v>546</v>
      </c>
      <c r="D37" s="123">
        <f>ROUNDUP(D35*0.95*5,0)</f>
        <v>210060</v>
      </c>
      <c r="E37" s="123">
        <f>ROUNDUP(E35*0.95*5,0)</f>
        <v>189454</v>
      </c>
      <c r="F37" s="60">
        <v>0.2</v>
      </c>
      <c r="G37" s="14"/>
    </row>
    <row r="38" spans="1:10" x14ac:dyDescent="0.25">
      <c r="A38" s="456" t="s">
        <v>60</v>
      </c>
      <c r="B38" s="58" t="s">
        <v>1079</v>
      </c>
      <c r="C38" s="49"/>
      <c r="D38" s="124"/>
      <c r="E38" s="125"/>
      <c r="F38" s="51"/>
      <c r="G38" s="53"/>
    </row>
    <row r="39" spans="1:10" ht="48.75" customHeight="1" outlineLevel="1" x14ac:dyDescent="0.25">
      <c r="A39" s="457"/>
      <c r="B39" s="42" t="s">
        <v>1107</v>
      </c>
      <c r="C39" s="43" t="str">
        <f>'[1]Diamond VPN FW - UTM'!C36</f>
        <v>BF-2-035</v>
      </c>
      <c r="D39" s="121">
        <f>'Diamond VPN FW - UTM'!D43</f>
        <v>154125</v>
      </c>
      <c r="E39" s="122">
        <f>ROUNDUP(D39*0.95,0)</f>
        <v>146419</v>
      </c>
      <c r="F39" s="45">
        <v>0.2</v>
      </c>
      <c r="G39" s="47" t="str">
        <f>'Diamond VPN FW - UTM'!G43</f>
        <v>6 x RJ45 GbE. 2 x USB 2.0.Bypass. Установка в стойку 1U. Только одиночный БП. 1 место для модулей расширения.Уголки для крепления в стойку входят в комплект.</v>
      </c>
    </row>
    <row r="40" spans="1:10" ht="30" customHeight="1" outlineLevel="1" x14ac:dyDescent="0.25">
      <c r="A40" s="458"/>
      <c r="B40" s="42" t="s">
        <v>1054</v>
      </c>
      <c r="C40" s="43" t="s">
        <v>161</v>
      </c>
      <c r="D40" s="121">
        <f>ROUNDUP(150950-8694,0)</f>
        <v>142256</v>
      </c>
      <c r="E40" s="122">
        <f>ROUNDUP(D40*0.85,0)</f>
        <v>120918</v>
      </c>
      <c r="F40" s="44" t="s">
        <v>4</v>
      </c>
      <c r="G40" s="46"/>
    </row>
    <row r="41" spans="1:10" ht="54.75" customHeight="1" outlineLevel="1" x14ac:dyDescent="0.25">
      <c r="A41" s="351" t="s">
        <v>61</v>
      </c>
      <c r="B41" s="168" t="s">
        <v>1094</v>
      </c>
      <c r="C41" s="5" t="s">
        <v>162</v>
      </c>
      <c r="D41" s="120">
        <f>ROUNDUP(D39+(D40*1.2),0)</f>
        <v>324833</v>
      </c>
      <c r="E41" s="120">
        <f>ROUNDUP(E39+(E40*1.2),0)</f>
        <v>291521</v>
      </c>
      <c r="F41" s="24">
        <v>0.2</v>
      </c>
      <c r="G41" s="91" t="s">
        <v>1593</v>
      </c>
    </row>
    <row r="42" spans="1:10" ht="30" customHeight="1" outlineLevel="1" x14ac:dyDescent="0.25">
      <c r="A42" s="350" t="s">
        <v>62</v>
      </c>
      <c r="B42" s="31" t="str">
        <f>CONCATENATE(H1,H9)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- 4105. Версия IDS»</v>
      </c>
      <c r="C42" s="5" t="s">
        <v>242</v>
      </c>
      <c r="D42" s="120">
        <f>ROUNDUP((D39+D40)*0.2,0)</f>
        <v>59277</v>
      </c>
      <c r="E42" s="120">
        <f>ROUNDUP((E39+E40)*0.2,0)</f>
        <v>53468</v>
      </c>
      <c r="F42" s="107">
        <v>0.2</v>
      </c>
      <c r="G42" s="4"/>
    </row>
    <row r="43" spans="1:10" ht="30" customHeight="1" outlineLevel="1" x14ac:dyDescent="0.25">
      <c r="A43" s="351" t="s">
        <v>503</v>
      </c>
      <c r="B43" s="22" t="str">
        <f>CONCATENATE(H3,H9)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- 4105. Версия IDS»</v>
      </c>
      <c r="C43" s="21" t="s">
        <v>535</v>
      </c>
      <c r="D43" s="118">
        <f>ROUNDUP(D42*0.97*3,0)</f>
        <v>172497</v>
      </c>
      <c r="E43" s="118">
        <f>ROUNDUP(E42*0.97*3,0)</f>
        <v>155592</v>
      </c>
      <c r="F43" s="107">
        <v>0.2</v>
      </c>
      <c r="G43" s="23"/>
    </row>
    <row r="44" spans="1:10" ht="30" customHeight="1" outlineLevel="1" thickBot="1" x14ac:dyDescent="0.3">
      <c r="A44" s="89" t="s">
        <v>504</v>
      </c>
      <c r="B44" s="166" t="str">
        <f>CONCATENATE(H4,H9)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- 4105. Версия IDS»</v>
      </c>
      <c r="C44" s="54" t="s">
        <v>547</v>
      </c>
      <c r="D44" s="123">
        <f>ROUNDUP(D42*0.95*5,0)</f>
        <v>281566</v>
      </c>
      <c r="E44" s="123">
        <f>ROUNDUP(E42*0.95*5,0)</f>
        <v>253973</v>
      </c>
      <c r="F44" s="60">
        <v>0.2</v>
      </c>
      <c r="G44" s="14"/>
    </row>
    <row r="45" spans="1:10" x14ac:dyDescent="0.25">
      <c r="A45" s="456" t="s">
        <v>63</v>
      </c>
      <c r="B45" s="58" t="s">
        <v>1080</v>
      </c>
      <c r="C45" s="49"/>
      <c r="D45" s="124"/>
      <c r="E45" s="125"/>
      <c r="F45" s="51"/>
      <c r="G45" s="53"/>
    </row>
    <row r="46" spans="1:10" ht="38.25" customHeight="1" outlineLevel="1" x14ac:dyDescent="0.25">
      <c r="A46" s="457"/>
      <c r="B46" s="42" t="s">
        <v>1108</v>
      </c>
      <c r="C46" s="43" t="str">
        <f>'[1]Diamond VPN FW - UTM'!C43</f>
        <v>BF-2-036</v>
      </c>
      <c r="D46" s="121">
        <f>'Diamond VPN FW - UTM'!D50</f>
        <v>276080</v>
      </c>
      <c r="E46" s="122">
        <f>ROUNDUP(D46*0.95,0)</f>
        <v>262276</v>
      </c>
      <c r="F46" s="45">
        <v>0.2</v>
      </c>
      <c r="G46" s="47" t="str">
        <f>'Diamond VPN FW - UTM'!G50</f>
        <v>8 x RJ45 GbE. Bypass. 2 x USB 3.0. Установка в стойку 1U. 2 блока питания. 2 места для модулей расширения</v>
      </c>
    </row>
    <row r="47" spans="1:10" ht="30" customHeight="1" outlineLevel="1" x14ac:dyDescent="0.25">
      <c r="A47" s="458"/>
      <c r="B47" s="42" t="s">
        <v>1055</v>
      </c>
      <c r="C47" s="43" t="s">
        <v>163</v>
      </c>
      <c r="D47" s="121">
        <f>ROUNDUP(('Diamond VPN FW - UTM'!D51+35600)*0.4,0)</f>
        <v>198362</v>
      </c>
      <c r="E47" s="122">
        <f>ROUNDUP(D47*0.85,0)</f>
        <v>168608</v>
      </c>
      <c r="F47" s="44" t="s">
        <v>4</v>
      </c>
      <c r="G47" s="46"/>
    </row>
    <row r="48" spans="1:10" ht="54.75" customHeight="1" outlineLevel="1" x14ac:dyDescent="0.25">
      <c r="A48" s="351" t="s">
        <v>64</v>
      </c>
      <c r="B48" s="106" t="s">
        <v>1095</v>
      </c>
      <c r="C48" s="5" t="s">
        <v>164</v>
      </c>
      <c r="D48" s="120">
        <f>ROUNDUP(D46+(D47*1.2),0)</f>
        <v>514115</v>
      </c>
      <c r="E48" s="120">
        <f>ROUNDUP(E46+(E47*1.2),0)</f>
        <v>464606</v>
      </c>
      <c r="F48" s="24">
        <v>0.2</v>
      </c>
      <c r="G48" s="91" t="s">
        <v>1594</v>
      </c>
    </row>
    <row r="49" spans="1:7" ht="30" customHeight="1" outlineLevel="1" x14ac:dyDescent="0.25">
      <c r="A49" s="350" t="s">
        <v>65</v>
      </c>
      <c r="B49" s="31" t="str">
        <f>CONCATENATE(H1,H10)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- 5101. Версия IDS»</v>
      </c>
      <c r="C49" s="5" t="s">
        <v>243</v>
      </c>
      <c r="D49" s="120">
        <f>ROUNDUP((D46+D47)*0.2,0)</f>
        <v>94889</v>
      </c>
      <c r="E49" s="120">
        <f>ROUNDUP((E46+E47)*0.2,0)</f>
        <v>86177</v>
      </c>
      <c r="F49" s="107">
        <v>0.2</v>
      </c>
      <c r="G49" s="4"/>
    </row>
    <row r="50" spans="1:7" ht="30" customHeight="1" outlineLevel="1" x14ac:dyDescent="0.25">
      <c r="A50" s="351" t="s">
        <v>505</v>
      </c>
      <c r="B50" s="22" t="str">
        <f>CONCATENATE(H3,H10)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- 5101. Версия IDS»</v>
      </c>
      <c r="C50" s="21" t="s">
        <v>536</v>
      </c>
      <c r="D50" s="118">
        <f>ROUNDUP(D49*0.97*3,0)</f>
        <v>276127</v>
      </c>
      <c r="E50" s="118">
        <f>ROUNDUP(E49*0.97*3,0)</f>
        <v>250776</v>
      </c>
      <c r="F50" s="107">
        <v>0.2</v>
      </c>
      <c r="G50" s="23"/>
    </row>
    <row r="51" spans="1:7" ht="30" customHeight="1" outlineLevel="1" thickBot="1" x14ac:dyDescent="0.3">
      <c r="A51" s="89" t="s">
        <v>506</v>
      </c>
      <c r="B51" s="166" t="str">
        <f>CONCATENATE(H4,H10)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- 5101. Версия IDS»</v>
      </c>
      <c r="C51" s="54" t="s">
        <v>548</v>
      </c>
      <c r="D51" s="123">
        <f>ROUNDUP(D49*0.95*5,0)</f>
        <v>450723</v>
      </c>
      <c r="E51" s="123">
        <f>ROUNDUP(E49*0.95*5,0)</f>
        <v>409341</v>
      </c>
      <c r="F51" s="60">
        <v>0.2</v>
      </c>
      <c r="G51" s="14"/>
    </row>
    <row r="52" spans="1:7" x14ac:dyDescent="0.25">
      <c r="A52" s="456" t="s">
        <v>66</v>
      </c>
      <c r="B52" s="58" t="s">
        <v>1081</v>
      </c>
      <c r="C52" s="49"/>
      <c r="D52" s="124"/>
      <c r="E52" s="125"/>
      <c r="F52" s="51"/>
      <c r="G52" s="53"/>
    </row>
    <row r="53" spans="1:7" ht="39" customHeight="1" outlineLevel="1" x14ac:dyDescent="0.25">
      <c r="A53" s="457"/>
      <c r="B53" s="42" t="s">
        <v>1109</v>
      </c>
      <c r="C53" s="43" t="str">
        <f>'[1]Diamond VPN FW - UTM'!C50</f>
        <v>BF-2-040</v>
      </c>
      <c r="D53" s="121">
        <f>'Diamond VPN FW - UTM'!D57</f>
        <v>273375</v>
      </c>
      <c r="E53" s="122">
        <f>ROUNDUP(D53*0.95,0)</f>
        <v>259707</v>
      </c>
      <c r="F53" s="45">
        <v>0.2</v>
      </c>
      <c r="G53" s="47" t="str">
        <f>'Diamond VPN FW - UTM'!G57</f>
        <v>8 x RJ45 GbE. Bypass. 2 x USB 3.0. Установка в стойку 1U. 2 блока питания. 2 места для модулей расширения</v>
      </c>
    </row>
    <row r="54" spans="1:7" ht="30" customHeight="1" outlineLevel="1" x14ac:dyDescent="0.25">
      <c r="A54" s="458"/>
      <c r="B54" s="42" t="s">
        <v>1056</v>
      </c>
      <c r="C54" s="43" t="s">
        <v>165</v>
      </c>
      <c r="D54" s="121">
        <f>ROUNDUP(198362-24995,0)</f>
        <v>173367</v>
      </c>
      <c r="E54" s="122">
        <f>ROUNDUP(D54*0.85,0)</f>
        <v>147362</v>
      </c>
      <c r="F54" s="44" t="s">
        <v>4</v>
      </c>
      <c r="G54" s="46"/>
    </row>
    <row r="55" spans="1:7" ht="54.75" customHeight="1" outlineLevel="1" x14ac:dyDescent="0.25">
      <c r="A55" s="351" t="s">
        <v>67</v>
      </c>
      <c r="B55" s="106" t="s">
        <v>1096</v>
      </c>
      <c r="C55" s="5" t="s">
        <v>166</v>
      </c>
      <c r="D55" s="120">
        <f>ROUNDUP(D53+(D54*1.2),0)</f>
        <v>481416</v>
      </c>
      <c r="E55" s="120">
        <f>ROUNDUP(E53+(E54*1.2),0)</f>
        <v>436542</v>
      </c>
      <c r="F55" s="24">
        <v>0.2</v>
      </c>
      <c r="G55" s="91" t="s">
        <v>1595</v>
      </c>
    </row>
    <row r="56" spans="1:7" ht="30" customHeight="1" outlineLevel="1" x14ac:dyDescent="0.25">
      <c r="A56" s="350" t="s">
        <v>68</v>
      </c>
      <c r="B56" s="31" t="str">
        <f>CONCATENATE(H1,H11)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- 5111. Версия IDS»</v>
      </c>
      <c r="C56" s="5" t="s">
        <v>244</v>
      </c>
      <c r="D56" s="120">
        <f>ROUNDUP((D53+D54)*0.2,0)</f>
        <v>89349</v>
      </c>
      <c r="E56" s="120">
        <f>ROUNDUP((E53+E54)*0.2,0)</f>
        <v>81414</v>
      </c>
      <c r="F56" s="107">
        <v>0.2</v>
      </c>
      <c r="G56" s="4"/>
    </row>
    <row r="57" spans="1:7" ht="30" customHeight="1" outlineLevel="1" x14ac:dyDescent="0.25">
      <c r="A57" s="351" t="s">
        <v>507</v>
      </c>
      <c r="B57" s="22" t="str">
        <f>CONCATENATE(H3,H11)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- 5111. Версия IDS»</v>
      </c>
      <c r="C57" s="21" t="s">
        <v>537</v>
      </c>
      <c r="D57" s="118">
        <f>ROUNDUP(D56*0.97*3,0)</f>
        <v>260006</v>
      </c>
      <c r="E57" s="118">
        <f>ROUNDUP(E56*0.97*3,0)</f>
        <v>236915</v>
      </c>
      <c r="F57" s="107">
        <v>0.2</v>
      </c>
      <c r="G57" s="23"/>
    </row>
    <row r="58" spans="1:7" ht="30" customHeight="1" outlineLevel="1" thickBot="1" x14ac:dyDescent="0.3">
      <c r="A58" s="89" t="s">
        <v>508</v>
      </c>
      <c r="B58" s="166" t="str">
        <f>CONCATENATE(H4,H11)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- 5111. Версия IDS»</v>
      </c>
      <c r="C58" s="54" t="s">
        <v>549</v>
      </c>
      <c r="D58" s="123">
        <f>ROUNDUP(D56*0.95*5,0)</f>
        <v>424408</v>
      </c>
      <c r="E58" s="123">
        <f>ROUNDUP(E56*0.95*5,0)</f>
        <v>386717</v>
      </c>
      <c r="F58" s="60">
        <v>0.2</v>
      </c>
      <c r="G58" s="14"/>
    </row>
    <row r="59" spans="1:7" x14ac:dyDescent="0.25">
      <c r="A59" s="456" t="s">
        <v>69</v>
      </c>
      <c r="B59" s="58" t="s">
        <v>1082</v>
      </c>
      <c r="C59" s="49"/>
      <c r="D59" s="124"/>
      <c r="E59" s="125"/>
      <c r="F59" s="51"/>
      <c r="G59" s="53"/>
    </row>
    <row r="60" spans="1:7" ht="39" customHeight="1" outlineLevel="1" x14ac:dyDescent="0.25">
      <c r="A60" s="457"/>
      <c r="B60" s="42" t="s">
        <v>1110</v>
      </c>
      <c r="C60" s="43" t="str">
        <f>'[1]Diamond VPN FW - UTM'!C57</f>
        <v>BF-2-045</v>
      </c>
      <c r="D60" s="121">
        <f>'Diamond VPN FW - UTM'!D64</f>
        <v>289125</v>
      </c>
      <c r="E60" s="122">
        <f>ROUNDUP(D60*0.95,0)</f>
        <v>274669</v>
      </c>
      <c r="F60" s="45">
        <v>0.2</v>
      </c>
      <c r="G60" s="47" t="str">
        <f>'Diamond VPN FW - UTM'!G64</f>
        <v>8 x RJ45 GbE. Bypass. 2 x USB 3.0. Установка в стойку 1U. 2 блока питания. 2 места для модулей расширения</v>
      </c>
    </row>
    <row r="61" spans="1:7" ht="30" customHeight="1" outlineLevel="1" x14ac:dyDescent="0.25">
      <c r="A61" s="458"/>
      <c r="B61" s="42" t="s">
        <v>1057</v>
      </c>
      <c r="C61" s="43" t="s">
        <v>167</v>
      </c>
      <c r="D61" s="121">
        <f>ROUNDUP(380534-25151,0)</f>
        <v>355383</v>
      </c>
      <c r="E61" s="122">
        <f>ROUNDUP(D61*0.85,0)</f>
        <v>302076</v>
      </c>
      <c r="F61" s="44" t="s">
        <v>4</v>
      </c>
      <c r="G61" s="46"/>
    </row>
    <row r="62" spans="1:7" ht="54.75" customHeight="1" outlineLevel="1" x14ac:dyDescent="0.25">
      <c r="A62" s="350" t="s">
        <v>70</v>
      </c>
      <c r="B62" s="106" t="s">
        <v>1097</v>
      </c>
      <c r="C62" s="5" t="s">
        <v>168</v>
      </c>
      <c r="D62" s="120">
        <f>ROUNDUP(D60+(D61*1.2),0)</f>
        <v>715585</v>
      </c>
      <c r="E62" s="120">
        <f>ROUNDUP(E60+(E61*1.2),0)</f>
        <v>637161</v>
      </c>
      <c r="F62" s="24">
        <v>0.2</v>
      </c>
      <c r="G62" s="91" t="s">
        <v>1596</v>
      </c>
    </row>
    <row r="63" spans="1:7" ht="30" customHeight="1" outlineLevel="1" x14ac:dyDescent="0.25">
      <c r="A63" s="196" t="s">
        <v>71</v>
      </c>
      <c r="B63" s="31" t="str">
        <f>CONCATENATE(H1,H12)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- 5121. Версия IDS»</v>
      </c>
      <c r="C63" s="5" t="s">
        <v>245</v>
      </c>
      <c r="D63" s="120">
        <f>ROUNDUP((D60+D61)*0.2,0)</f>
        <v>128902</v>
      </c>
      <c r="E63" s="120">
        <f>ROUNDUP((E60+E61)*0.2,0)</f>
        <v>115349</v>
      </c>
      <c r="F63" s="107">
        <v>0.2</v>
      </c>
      <c r="G63" s="4"/>
    </row>
    <row r="64" spans="1:7" ht="30" customHeight="1" outlineLevel="1" x14ac:dyDescent="0.25">
      <c r="A64" s="350" t="s">
        <v>509</v>
      </c>
      <c r="B64" s="22" t="str">
        <f>CONCATENATE(H3,H12)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- 5121. Версия IDS»</v>
      </c>
      <c r="C64" s="21" t="s">
        <v>538</v>
      </c>
      <c r="D64" s="118">
        <f>ROUNDUP(D63*0.97*3,0)</f>
        <v>375105</v>
      </c>
      <c r="E64" s="118">
        <f>ROUNDUP(E63*0.97*3,0)</f>
        <v>335666</v>
      </c>
      <c r="F64" s="107">
        <v>0.2</v>
      </c>
      <c r="G64" s="23"/>
    </row>
    <row r="65" spans="1:7" ht="30" customHeight="1" outlineLevel="1" thickBot="1" x14ac:dyDescent="0.3">
      <c r="A65" s="89" t="s">
        <v>510</v>
      </c>
      <c r="B65" s="166" t="str">
        <f>CONCATENATE(H4,H12)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- 5121. Версия IDS»</v>
      </c>
      <c r="C65" s="5" t="s">
        <v>550</v>
      </c>
      <c r="D65" s="123">
        <f>ROUNDUP(D63*0.95*5,0)</f>
        <v>612285</v>
      </c>
      <c r="E65" s="123">
        <f>ROUNDUP(E63*0.95*5,0)</f>
        <v>547908</v>
      </c>
      <c r="F65" s="60">
        <v>0.2</v>
      </c>
      <c r="G65" s="14"/>
    </row>
    <row r="66" spans="1:7" ht="15" customHeight="1" outlineLevel="1" x14ac:dyDescent="0.25">
      <c r="A66" s="456" t="s">
        <v>72</v>
      </c>
      <c r="B66" s="58" t="s">
        <v>1578</v>
      </c>
      <c r="C66" s="98"/>
      <c r="D66" s="124"/>
      <c r="E66" s="125"/>
      <c r="F66" s="51"/>
      <c r="G66" s="53"/>
    </row>
    <row r="67" spans="1:7" ht="30" customHeight="1" outlineLevel="1" x14ac:dyDescent="0.25">
      <c r="A67" s="457"/>
      <c r="B67" s="42" t="s">
        <v>1366</v>
      </c>
      <c r="C67" s="43" t="str">
        <f>'[3]Diamond VPN FW - UTM'!C71</f>
        <v>BF-2-093</v>
      </c>
      <c r="D67" s="121">
        <f>'Diamond VPN FW - UTM'!D71</f>
        <v>369600</v>
      </c>
      <c r="E67" s="122">
        <f>ROUNDUP(D67*0.95,0)</f>
        <v>351120</v>
      </c>
      <c r="F67" s="45">
        <v>0.2</v>
      </c>
      <c r="G67" s="47" t="str">
        <f>'Diamond VPN FW - UTM'!G71</f>
        <v>12 x RJ45 GbE. Bypass. 2 x USB 3.0. Установка в стойку 1U. 2 блока питания. 2 места для модулей расширения</v>
      </c>
    </row>
    <row r="68" spans="1:7" ht="30" customHeight="1" outlineLevel="1" x14ac:dyDescent="0.25">
      <c r="A68" s="458"/>
      <c r="B68" s="42" t="s">
        <v>1579</v>
      </c>
      <c r="C68" s="43" t="s">
        <v>1640</v>
      </c>
      <c r="D68" s="121">
        <f>ROUNDUP(('Diamond VPN FW - UTM'!D72+35600)*0.4,0)</f>
        <v>198362</v>
      </c>
      <c r="E68" s="122">
        <f>ROUNDUP(D68*0.85,0)</f>
        <v>168608</v>
      </c>
      <c r="F68" s="44" t="s">
        <v>4</v>
      </c>
      <c r="G68" s="46"/>
    </row>
    <row r="69" spans="1:7" ht="54.75" customHeight="1" outlineLevel="1" x14ac:dyDescent="0.25">
      <c r="A69" s="350" t="s">
        <v>73</v>
      </c>
      <c r="B69" s="106" t="s">
        <v>1580</v>
      </c>
      <c r="C69" s="269" t="s">
        <v>1643</v>
      </c>
      <c r="D69" s="120">
        <f>ROUNDUP(D67+(D68*1.2),0)</f>
        <v>607635</v>
      </c>
      <c r="E69" s="120">
        <f>ROUNDUP(E67+(E68*1.2),0)</f>
        <v>553450</v>
      </c>
      <c r="F69" s="24">
        <v>0.2</v>
      </c>
      <c r="G69" s="91" t="s">
        <v>1597</v>
      </c>
    </row>
    <row r="70" spans="1:7" ht="30" customHeight="1" outlineLevel="1" x14ac:dyDescent="0.25">
      <c r="A70" s="196" t="s">
        <v>74</v>
      </c>
      <c r="B70" s="31" t="str">
        <f>CONCATENATE(H1,H22)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- 5201. Версия IDS»</v>
      </c>
      <c r="C70" s="269" t="s">
        <v>1646</v>
      </c>
      <c r="D70" s="120">
        <f>ROUNDUP((D67+D68)*0.2,0)</f>
        <v>113593</v>
      </c>
      <c r="E70" s="120">
        <f>ROUNDUP((E67+E68)*0.2,0)</f>
        <v>103946</v>
      </c>
      <c r="F70" s="107">
        <v>0.2</v>
      </c>
      <c r="G70" s="4"/>
    </row>
    <row r="71" spans="1:7" ht="30" customHeight="1" outlineLevel="1" x14ac:dyDescent="0.25">
      <c r="A71" s="350" t="s">
        <v>511</v>
      </c>
      <c r="B71" s="22" t="str">
        <f>CONCATENATE(H3,H22)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- 5201. Версия IDS»</v>
      </c>
      <c r="C71" s="256" t="s">
        <v>1647</v>
      </c>
      <c r="D71" s="118">
        <f>ROUNDUP(D70*0.97*3,0)</f>
        <v>330556</v>
      </c>
      <c r="E71" s="118">
        <f>ROUNDUP(E70*0.97*3,0)</f>
        <v>302483</v>
      </c>
      <c r="F71" s="107">
        <v>0.2</v>
      </c>
      <c r="G71" s="23"/>
    </row>
    <row r="72" spans="1:7" ht="30" customHeight="1" outlineLevel="1" thickBot="1" x14ac:dyDescent="0.3">
      <c r="A72" s="89" t="s">
        <v>512</v>
      </c>
      <c r="B72" s="166" t="str">
        <f>CONCATENATE(H4,H22)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- 5201. Версия IDS»</v>
      </c>
      <c r="C72" s="268" t="s">
        <v>1648</v>
      </c>
      <c r="D72" s="123">
        <f>ROUNDUP(D70*0.95*5,0)</f>
        <v>539567</v>
      </c>
      <c r="E72" s="123">
        <f>ROUNDUP(E70*0.95*5,0)</f>
        <v>493744</v>
      </c>
      <c r="F72" s="60">
        <v>0.2</v>
      </c>
      <c r="G72" s="14"/>
    </row>
    <row r="73" spans="1:7" ht="15" customHeight="1" outlineLevel="1" x14ac:dyDescent="0.25">
      <c r="A73" s="456" t="s">
        <v>75</v>
      </c>
      <c r="B73" s="58" t="s">
        <v>1581</v>
      </c>
      <c r="C73" s="49"/>
      <c r="D73" s="124"/>
      <c r="E73" s="125"/>
      <c r="F73" s="51"/>
      <c r="G73" s="53"/>
    </row>
    <row r="74" spans="1:7" ht="30" customHeight="1" outlineLevel="1" x14ac:dyDescent="0.25">
      <c r="A74" s="457"/>
      <c r="B74" s="42" t="s">
        <v>1350</v>
      </c>
      <c r="C74" s="43" t="str">
        <f>'[3]Diamond VPN FW - UTM'!C78</f>
        <v>BF-2-094</v>
      </c>
      <c r="D74" s="121">
        <f>'Diamond VPN FW - UTM'!D78</f>
        <v>402192</v>
      </c>
      <c r="E74" s="122">
        <f>ROUNDUP(D74*0.95,0)</f>
        <v>382083</v>
      </c>
      <c r="F74" s="45">
        <v>0.2</v>
      </c>
      <c r="G74" s="47" t="str">
        <f>'Diamond VPN FW - UTM'!G78</f>
        <v>12 x RJ45 GbE. Bypass. 2 x USB 3.0. Установка в стойку 1U. 2 блока питания. 2 места для модулей расширения</v>
      </c>
    </row>
    <row r="75" spans="1:7" ht="30" customHeight="1" outlineLevel="1" x14ac:dyDescent="0.25">
      <c r="A75" s="458"/>
      <c r="B75" s="42" t="s">
        <v>1582</v>
      </c>
      <c r="C75" s="43" t="s">
        <v>1641</v>
      </c>
      <c r="D75" s="121">
        <f>ROUNDUP(198362-24995,0)</f>
        <v>173367</v>
      </c>
      <c r="E75" s="122">
        <f>ROUNDUP(D75*0.85,0)</f>
        <v>147362</v>
      </c>
      <c r="F75" s="44" t="s">
        <v>4</v>
      </c>
      <c r="G75" s="46"/>
    </row>
    <row r="76" spans="1:7" ht="54.75" customHeight="1" outlineLevel="1" x14ac:dyDescent="0.25">
      <c r="A76" s="350" t="s">
        <v>76</v>
      </c>
      <c r="B76" s="106" t="s">
        <v>1583</v>
      </c>
      <c r="C76" s="269" t="s">
        <v>1644</v>
      </c>
      <c r="D76" s="120">
        <f>ROUNDUP(D74+(D75*1.2),0)</f>
        <v>610233</v>
      </c>
      <c r="E76" s="120">
        <f>ROUNDUP(E74+(E75*1.2),0)</f>
        <v>558918</v>
      </c>
      <c r="F76" s="24">
        <v>0.2</v>
      </c>
      <c r="G76" s="91" t="s">
        <v>1598</v>
      </c>
    </row>
    <row r="77" spans="1:7" ht="30" customHeight="1" outlineLevel="1" x14ac:dyDescent="0.25">
      <c r="A77" s="196" t="s">
        <v>77</v>
      </c>
      <c r="B77" s="31" t="str">
        <f>CONCATENATE(H1,H23)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- 5211. Версия IDS»</v>
      </c>
      <c r="C77" s="269" t="s">
        <v>1649</v>
      </c>
      <c r="D77" s="120">
        <f>ROUNDUP((D74+D75)*0.2,0)</f>
        <v>115112</v>
      </c>
      <c r="E77" s="120">
        <f>ROUNDUP((E74+E75)*0.2,0)</f>
        <v>105889</v>
      </c>
      <c r="F77" s="107">
        <v>0.2</v>
      </c>
      <c r="G77" s="4"/>
    </row>
    <row r="78" spans="1:7" ht="30" customHeight="1" outlineLevel="1" x14ac:dyDescent="0.25">
      <c r="A78" s="350" t="s">
        <v>513</v>
      </c>
      <c r="B78" s="22" t="str">
        <f>CONCATENATE(H3,H23)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- 5211. Версия IDS»</v>
      </c>
      <c r="C78" s="256" t="s">
        <v>1650</v>
      </c>
      <c r="D78" s="118">
        <f>ROUNDUP(D77*0.97*3,0)</f>
        <v>334976</v>
      </c>
      <c r="E78" s="118">
        <f>ROUNDUP(E77*0.97*3,0)</f>
        <v>308137</v>
      </c>
      <c r="F78" s="107">
        <v>0.2</v>
      </c>
      <c r="G78" s="23"/>
    </row>
    <row r="79" spans="1:7" ht="30" customHeight="1" outlineLevel="1" thickBot="1" x14ac:dyDescent="0.3">
      <c r="A79" s="89" t="s">
        <v>514</v>
      </c>
      <c r="B79" s="166" t="str">
        <f>CONCATENATE(H4,H23)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- 5211. Версия IDS»</v>
      </c>
      <c r="C79" s="268" t="s">
        <v>1651</v>
      </c>
      <c r="D79" s="123">
        <f>ROUNDUP(D77*0.95*5,0)</f>
        <v>546782</v>
      </c>
      <c r="E79" s="123">
        <f>ROUNDUP(E77*0.95*5,0)</f>
        <v>502973</v>
      </c>
      <c r="F79" s="60">
        <v>0.2</v>
      </c>
      <c r="G79" s="14"/>
    </row>
    <row r="80" spans="1:7" ht="15" customHeight="1" outlineLevel="1" x14ac:dyDescent="0.25">
      <c r="A80" s="456" t="s">
        <v>78</v>
      </c>
      <c r="B80" s="58" t="s">
        <v>1584</v>
      </c>
      <c r="C80" s="49"/>
      <c r="D80" s="124"/>
      <c r="E80" s="125"/>
      <c r="F80" s="51"/>
      <c r="G80" s="53"/>
    </row>
    <row r="81" spans="1:7" ht="30" customHeight="1" outlineLevel="1" x14ac:dyDescent="0.25">
      <c r="A81" s="457"/>
      <c r="B81" s="42" t="s">
        <v>1377</v>
      </c>
      <c r="C81" s="43" t="str">
        <f>'[3]Diamond VPN FW - UTM'!C85</f>
        <v>BF-2-095</v>
      </c>
      <c r="D81" s="121">
        <f>'Diamond VPN FW - UTM'!D85</f>
        <v>421344</v>
      </c>
      <c r="E81" s="122">
        <f>ROUNDUP(D81*0.95,0)</f>
        <v>400277</v>
      </c>
      <c r="F81" s="45">
        <v>0.2</v>
      </c>
      <c r="G81" s="47" t="str">
        <f>'Diamond VPN FW - UTM'!G85</f>
        <v>12 x RJ45 GbE. Bypass. 2 x USB 3.0. Установка в стойку 1U. 2 блока питания. 2 места для модулей расширения</v>
      </c>
    </row>
    <row r="82" spans="1:7" ht="30" customHeight="1" outlineLevel="1" x14ac:dyDescent="0.25">
      <c r="A82" s="458"/>
      <c r="B82" s="42" t="s">
        <v>1585</v>
      </c>
      <c r="C82" s="43" t="s">
        <v>1642</v>
      </c>
      <c r="D82" s="121">
        <f>ROUNDUP(380534-25151,0)</f>
        <v>355383</v>
      </c>
      <c r="E82" s="122">
        <f>ROUNDUP(D82*0.85,0)</f>
        <v>302076</v>
      </c>
      <c r="F82" s="44" t="s">
        <v>4</v>
      </c>
      <c r="G82" s="46"/>
    </row>
    <row r="83" spans="1:7" ht="54.75" customHeight="1" outlineLevel="1" x14ac:dyDescent="0.25">
      <c r="A83" s="350" t="s">
        <v>79</v>
      </c>
      <c r="B83" s="106" t="s">
        <v>1586</v>
      </c>
      <c r="C83" s="269" t="s">
        <v>1645</v>
      </c>
      <c r="D83" s="120">
        <f>ROUNDUP(D81+(D82*1.2),0)</f>
        <v>847804</v>
      </c>
      <c r="E83" s="120">
        <f>ROUNDUP(E81+(E82*1.2),0)</f>
        <v>762769</v>
      </c>
      <c r="F83" s="24">
        <v>0.2</v>
      </c>
      <c r="G83" s="91" t="s">
        <v>1599</v>
      </c>
    </row>
    <row r="84" spans="1:7" ht="30" customHeight="1" outlineLevel="1" x14ac:dyDescent="0.25">
      <c r="A84" s="196" t="s">
        <v>80</v>
      </c>
      <c r="B84" s="31" t="str">
        <f>CONCATENATE(H1,H24)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- 5221. Версия IDS»</v>
      </c>
      <c r="C84" s="269" t="s">
        <v>1652</v>
      </c>
      <c r="D84" s="120">
        <f>ROUNDUP((D81+D82)*0.2,0)</f>
        <v>155346</v>
      </c>
      <c r="E84" s="120">
        <f>ROUNDUP((E81+E82)*0.2,0)</f>
        <v>140471</v>
      </c>
      <c r="F84" s="107">
        <v>0.2</v>
      </c>
      <c r="G84" s="4"/>
    </row>
    <row r="85" spans="1:7" ht="30" customHeight="1" outlineLevel="1" x14ac:dyDescent="0.25">
      <c r="A85" s="350" t="s">
        <v>515</v>
      </c>
      <c r="B85" s="22" t="str">
        <f>CONCATENATE(H3,H24)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- 5221. Версия IDS»</v>
      </c>
      <c r="C85" s="256" t="s">
        <v>1653</v>
      </c>
      <c r="D85" s="118">
        <f>ROUNDUP(D84*0.97*3,0)</f>
        <v>452057</v>
      </c>
      <c r="E85" s="118">
        <f>ROUNDUP(E84*0.97*3,0)</f>
        <v>408771</v>
      </c>
      <c r="F85" s="107">
        <v>0.2</v>
      </c>
      <c r="G85" s="23"/>
    </row>
    <row r="86" spans="1:7" ht="30" customHeight="1" outlineLevel="1" thickBot="1" x14ac:dyDescent="0.3">
      <c r="A86" s="89" t="s">
        <v>516</v>
      </c>
      <c r="B86" s="166" t="str">
        <f>CONCATENATE(H4,H24)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- 5221. Версия IDS»</v>
      </c>
      <c r="C86" s="269" t="s">
        <v>1654</v>
      </c>
      <c r="D86" s="123">
        <f>ROUNDUP(D84*0.95*5,0)</f>
        <v>737894</v>
      </c>
      <c r="E86" s="123">
        <f>ROUNDUP(E84*0.95*5,0)</f>
        <v>667238</v>
      </c>
      <c r="F86" s="60">
        <v>0.2</v>
      </c>
      <c r="G86" s="14"/>
    </row>
    <row r="87" spans="1:7" x14ac:dyDescent="0.25">
      <c r="A87" s="456" t="s">
        <v>81</v>
      </c>
      <c r="B87" s="58" t="s">
        <v>1083</v>
      </c>
      <c r="C87" s="98"/>
      <c r="D87" s="124"/>
      <c r="E87" s="125"/>
      <c r="F87" s="51"/>
      <c r="G87" s="53"/>
    </row>
    <row r="88" spans="1:7" ht="48" customHeight="1" outlineLevel="1" x14ac:dyDescent="0.25">
      <c r="A88" s="457"/>
      <c r="B88" s="42" t="s">
        <v>1111</v>
      </c>
      <c r="C88" s="43" t="str">
        <f>'[1]Diamond VPN FW - UTM'!C85</f>
        <v>BF-2-048</v>
      </c>
      <c r="D88" s="121">
        <f>'Diamond VPN FW - UTM'!D92</f>
        <v>371250</v>
      </c>
      <c r="E88" s="122">
        <f>ROUNDUP(D88*0.95,0)</f>
        <v>352688</v>
      </c>
      <c r="F88" s="45">
        <v>0.2</v>
      </c>
      <c r="G88" s="48" t="str">
        <f>'Diamond VPN FW - UTM'!G92</f>
        <v xml:space="preserve">ОБЯЗАТЕЛЬНА ДОКУПКА МОДУЛЕЙ РАСШИРЕНИЯ!
1 x RJ45 GbE. 2 x USB 3.0. Установка в стойку 1U. 2 блока питания. 4 места для модулей расширения. Bypass в зависимости от модуля расширения. </v>
      </c>
    </row>
    <row r="89" spans="1:7" ht="30" customHeight="1" outlineLevel="1" x14ac:dyDescent="0.25">
      <c r="A89" s="458"/>
      <c r="B89" s="42" t="s">
        <v>1049</v>
      </c>
      <c r="C89" s="43" t="s">
        <v>169</v>
      </c>
      <c r="D89" s="121">
        <f>ROUNDUP(375928-35718,0)</f>
        <v>340210</v>
      </c>
      <c r="E89" s="122">
        <f>ROUNDUP(D89*0.85,0)</f>
        <v>289179</v>
      </c>
      <c r="F89" s="44" t="s">
        <v>4</v>
      </c>
      <c r="G89" s="46"/>
    </row>
    <row r="90" spans="1:7" ht="54.75" customHeight="1" outlineLevel="1" x14ac:dyDescent="0.25">
      <c r="A90" s="350" t="s">
        <v>82</v>
      </c>
      <c r="B90" s="106" t="s">
        <v>1098</v>
      </c>
      <c r="C90" s="5" t="s">
        <v>170</v>
      </c>
      <c r="D90" s="120">
        <f>ROUNDUP(D88+(D89*1.2),0)</f>
        <v>779502</v>
      </c>
      <c r="E90" s="120">
        <f>ROUNDUP(E88+(E89*1.2),0)</f>
        <v>699703</v>
      </c>
      <c r="F90" s="24">
        <v>0.2</v>
      </c>
      <c r="G90" s="91" t="s">
        <v>1600</v>
      </c>
    </row>
    <row r="91" spans="1:7" ht="30" customHeight="1" outlineLevel="1" x14ac:dyDescent="0.25">
      <c r="A91" s="196" t="s">
        <v>83</v>
      </c>
      <c r="B91" s="31" t="str">
        <f>CONCATENATE(H1,H13)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- 6101. Версия IDS»</v>
      </c>
      <c r="C91" s="5" t="s">
        <v>246</v>
      </c>
      <c r="D91" s="120">
        <f>ROUNDUP((D88+D89)*0.2,0)</f>
        <v>142292</v>
      </c>
      <c r="E91" s="120">
        <f>ROUNDUP((E88+E89)*0.2,0)</f>
        <v>128374</v>
      </c>
      <c r="F91" s="107">
        <v>0.2</v>
      </c>
      <c r="G91" s="93"/>
    </row>
    <row r="92" spans="1:7" ht="30" customHeight="1" outlineLevel="1" x14ac:dyDescent="0.25">
      <c r="A92" s="350" t="s">
        <v>517</v>
      </c>
      <c r="B92" s="22" t="str">
        <f>CONCATENATE(H3,H13)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- 6101. Версия IDS»</v>
      </c>
      <c r="C92" s="21" t="s">
        <v>539</v>
      </c>
      <c r="D92" s="118">
        <f>ROUNDUP(D91*0.97*3,0)</f>
        <v>414070</v>
      </c>
      <c r="E92" s="118">
        <f>ROUNDUP(E91*0.97*3,0)</f>
        <v>373569</v>
      </c>
      <c r="F92" s="107">
        <v>0.2</v>
      </c>
      <c r="G92" s="197"/>
    </row>
    <row r="93" spans="1:7" ht="30" customHeight="1" outlineLevel="1" thickBot="1" x14ac:dyDescent="0.3">
      <c r="A93" s="89" t="s">
        <v>518</v>
      </c>
      <c r="B93" s="166" t="str">
        <f>CONCATENATE(H4,H13)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- 6101. Версия IDS»</v>
      </c>
      <c r="C93" s="54" t="s">
        <v>551</v>
      </c>
      <c r="D93" s="123">
        <f>ROUNDUP(D91*0.95*5,0)</f>
        <v>675887</v>
      </c>
      <c r="E93" s="123">
        <f>ROUNDUP(E91*0.95*5,0)</f>
        <v>609777</v>
      </c>
      <c r="F93" s="60">
        <v>0.2</v>
      </c>
      <c r="G93" s="57"/>
    </row>
    <row r="94" spans="1:7" x14ac:dyDescent="0.25">
      <c r="A94" s="456" t="s">
        <v>84</v>
      </c>
      <c r="B94" s="58" t="s">
        <v>1084</v>
      </c>
      <c r="C94" s="49"/>
      <c r="D94" s="124"/>
      <c r="E94" s="125"/>
      <c r="F94" s="51"/>
      <c r="G94" s="56"/>
    </row>
    <row r="95" spans="1:7" ht="59.25" customHeight="1" outlineLevel="1" x14ac:dyDescent="0.25">
      <c r="A95" s="457"/>
      <c r="B95" s="42" t="s">
        <v>1112</v>
      </c>
      <c r="C95" s="43" t="str">
        <f>'[1]Diamond VPN FW - UTM'!C92</f>
        <v>BF-2-053</v>
      </c>
      <c r="D95" s="121">
        <f>'Diamond VPN FW - UTM'!D99</f>
        <v>558000</v>
      </c>
      <c r="E95" s="122">
        <f>ROUNDUP(D95*0.95,0)</f>
        <v>530100</v>
      </c>
      <c r="F95" s="45">
        <v>0.2</v>
      </c>
      <c r="G95" s="48" t="str">
        <f>'Diamond VPN FW - UTM'!G99</f>
        <v xml:space="preserve">ОБЯЗАТЕЛЬНА ДОКУПКА МОДУЛЕЙ РАСШИРЕНИЯ!
1 x RJ45 GbE. 2 x USB 3.0. Установка в стойку 1U. 2 блока питания. 4 места для модулей расширения. Bypass в зависимости от модуля расширения. </v>
      </c>
    </row>
    <row r="96" spans="1:7" ht="30" customHeight="1" outlineLevel="1" x14ac:dyDescent="0.25">
      <c r="A96" s="458"/>
      <c r="B96" s="42" t="s">
        <v>1058</v>
      </c>
      <c r="C96" s="43" t="s">
        <v>171</v>
      </c>
      <c r="D96" s="121">
        <f>ROUNDUP(778954-58594,0)</f>
        <v>720360</v>
      </c>
      <c r="E96" s="122">
        <f>ROUNDUP(D96*0.85,0)</f>
        <v>612306</v>
      </c>
      <c r="F96" s="44" t="s">
        <v>4</v>
      </c>
      <c r="G96" s="46"/>
    </row>
    <row r="97" spans="1:7" ht="54.75" customHeight="1" outlineLevel="1" x14ac:dyDescent="0.25">
      <c r="A97" s="350" t="s">
        <v>85</v>
      </c>
      <c r="B97" s="106" t="s">
        <v>1099</v>
      </c>
      <c r="C97" s="5" t="s">
        <v>172</v>
      </c>
      <c r="D97" s="120">
        <f>ROUNDUP(D95+(D96*1.2),0)</f>
        <v>1422432</v>
      </c>
      <c r="E97" s="120">
        <f>ROUNDUP(E95+(E96*1.2),0)</f>
        <v>1264868</v>
      </c>
      <c r="F97" s="24">
        <v>0.2</v>
      </c>
      <c r="G97" s="91" t="s">
        <v>1601</v>
      </c>
    </row>
    <row r="98" spans="1:7" ht="30" customHeight="1" outlineLevel="1" x14ac:dyDescent="0.25">
      <c r="A98" s="196" t="s">
        <v>86</v>
      </c>
      <c r="B98" s="31" t="str">
        <f>CONCATENATE(H1,H14)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- 7101. Версия IDS»</v>
      </c>
      <c r="C98" s="5" t="s">
        <v>247</v>
      </c>
      <c r="D98" s="120">
        <f>ROUNDUP((D95+D96)*0.2,0)</f>
        <v>255672</v>
      </c>
      <c r="E98" s="120">
        <f>ROUNDUP((E95+E96)*0.2,0)</f>
        <v>228482</v>
      </c>
      <c r="F98" s="107">
        <v>0.2</v>
      </c>
      <c r="G98" s="93"/>
    </row>
    <row r="99" spans="1:7" ht="30" customHeight="1" outlineLevel="1" x14ac:dyDescent="0.25">
      <c r="A99" s="350" t="s">
        <v>519</v>
      </c>
      <c r="B99" s="22" t="str">
        <f>CONCATENATE(H3,H14)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- 7101. Версия IDS»</v>
      </c>
      <c r="C99" s="21" t="s">
        <v>540</v>
      </c>
      <c r="D99" s="118">
        <f>ROUNDUP(D98*0.97*3,0)</f>
        <v>744006</v>
      </c>
      <c r="E99" s="118">
        <f>ROUNDUP(E98*0.97*3,0)</f>
        <v>664883</v>
      </c>
      <c r="F99" s="107">
        <v>0.2</v>
      </c>
      <c r="G99" s="197"/>
    </row>
    <row r="100" spans="1:7" ht="30" customHeight="1" outlineLevel="1" thickBot="1" x14ac:dyDescent="0.3">
      <c r="A100" s="89" t="s">
        <v>520</v>
      </c>
      <c r="B100" s="166" t="str">
        <f>CONCATENATE(H4,H14)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- 7101. Версия IDS»</v>
      </c>
      <c r="C100" s="54" t="s">
        <v>552</v>
      </c>
      <c r="D100" s="123">
        <f>ROUNDUP(D98*0.95*5,0)</f>
        <v>1214442</v>
      </c>
      <c r="E100" s="123">
        <f>ROUNDUP(E98*0.95*5,0)</f>
        <v>1085290</v>
      </c>
      <c r="F100" s="60">
        <v>0.2</v>
      </c>
      <c r="G100" s="57"/>
    </row>
    <row r="101" spans="1:7" x14ac:dyDescent="0.25">
      <c r="A101" s="456" t="s">
        <v>87</v>
      </c>
      <c r="B101" s="58" t="s">
        <v>1085</v>
      </c>
      <c r="C101" s="49"/>
      <c r="D101" s="124"/>
      <c r="E101" s="125"/>
      <c r="F101" s="51"/>
      <c r="G101" s="56"/>
    </row>
    <row r="102" spans="1:7" ht="52.5" customHeight="1" outlineLevel="1" x14ac:dyDescent="0.25">
      <c r="A102" s="457"/>
      <c r="B102" s="42" t="s">
        <v>1113</v>
      </c>
      <c r="C102" s="43" t="str">
        <f>'[1]Diamond VPN FW - UTM'!C99</f>
        <v>BF-2-059</v>
      </c>
      <c r="D102" s="121">
        <f>'Diamond VPN FW - UTM'!D106</f>
        <v>994500</v>
      </c>
      <c r="E102" s="122">
        <f>ROUNDUP(D102*0.95,0)</f>
        <v>944775</v>
      </c>
      <c r="F102" s="45">
        <v>0.2</v>
      </c>
      <c r="G102" s="48" t="str">
        <f>'Diamond VPN FW - UTM'!G106</f>
        <v xml:space="preserve">ОБЯЗАТЕЛЬНА ДОКУПКА МОДУЛЕЙ РАСШИРЕНИЯ!
1 x RJ45 GbE. 2 x USB 3.0. Установка в стойку 1U. 2 блока питания. 4 места для модулей расширения. Bypass в зависимости от модуля расширения. </v>
      </c>
    </row>
    <row r="103" spans="1:7" ht="30" customHeight="1" outlineLevel="1" x14ac:dyDescent="0.25">
      <c r="A103" s="458"/>
      <c r="B103" s="42" t="s">
        <v>1059</v>
      </c>
      <c r="C103" s="43" t="s">
        <v>173</v>
      </c>
      <c r="D103" s="121">
        <f>ROUNDUP(1960688-78802,0)</f>
        <v>1881886</v>
      </c>
      <c r="E103" s="122">
        <f>ROUNDUP(D103*0.85,0)</f>
        <v>1599604</v>
      </c>
      <c r="F103" s="44" t="s">
        <v>4</v>
      </c>
      <c r="G103" s="46"/>
    </row>
    <row r="104" spans="1:7" ht="54.75" customHeight="1" outlineLevel="1" x14ac:dyDescent="0.25">
      <c r="A104" s="350" t="s">
        <v>88</v>
      </c>
      <c r="B104" s="106" t="s">
        <v>1100</v>
      </c>
      <c r="C104" s="5" t="s">
        <v>174</v>
      </c>
      <c r="D104" s="120">
        <f>ROUNDUP(D102+(D103*1.2),0)</f>
        <v>3252764</v>
      </c>
      <c r="E104" s="120">
        <f>ROUNDUP(E102+(E103*1.2),0)</f>
        <v>2864300</v>
      </c>
      <c r="F104" s="24">
        <v>0.2</v>
      </c>
      <c r="G104" s="91" t="s">
        <v>1602</v>
      </c>
    </row>
    <row r="105" spans="1:7" ht="30" customHeight="1" outlineLevel="1" x14ac:dyDescent="0.25">
      <c r="A105" s="196" t="s">
        <v>89</v>
      </c>
      <c r="B105" s="31" t="str">
        <f>CONCATENATE(H1,H15)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- 7141. Версия IDS»</v>
      </c>
      <c r="C105" s="5" t="s">
        <v>248</v>
      </c>
      <c r="D105" s="120">
        <f>ROUNDUP((D102+D103)*0.2,0)</f>
        <v>575278</v>
      </c>
      <c r="E105" s="120">
        <f>ROUNDUP((E102+E103)*0.2,0)</f>
        <v>508876</v>
      </c>
      <c r="F105" s="107">
        <v>0.2</v>
      </c>
      <c r="G105" s="93"/>
    </row>
    <row r="106" spans="1:7" ht="30" customHeight="1" outlineLevel="1" x14ac:dyDescent="0.25">
      <c r="A106" s="350" t="s">
        <v>521</v>
      </c>
      <c r="B106" s="22" t="str">
        <f>CONCATENATE(H3,H15)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- 7141. Версия IDS»</v>
      </c>
      <c r="C106" s="21" t="s">
        <v>541</v>
      </c>
      <c r="D106" s="118">
        <f>ROUNDUP(D105*0.97*3,0)</f>
        <v>1674059</v>
      </c>
      <c r="E106" s="118">
        <f>ROUNDUP(E105*0.97*3,0)</f>
        <v>1480830</v>
      </c>
      <c r="F106" s="107">
        <v>0.2</v>
      </c>
      <c r="G106" s="197"/>
    </row>
    <row r="107" spans="1:7" ht="30" customHeight="1" outlineLevel="1" thickBot="1" x14ac:dyDescent="0.3">
      <c r="A107" s="89" t="s">
        <v>522</v>
      </c>
      <c r="B107" s="166" t="str">
        <f>CONCATENATE(H4,H15)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- 7141. Версия IDS»</v>
      </c>
      <c r="C107" s="54" t="s">
        <v>553</v>
      </c>
      <c r="D107" s="123">
        <f>ROUNDUP(D105*0.95*5,0)</f>
        <v>2732571</v>
      </c>
      <c r="E107" s="123">
        <f>ROUNDUP(E105*0.95*5,0)</f>
        <v>2417161</v>
      </c>
      <c r="F107" s="60">
        <v>0.2</v>
      </c>
      <c r="G107" s="57"/>
    </row>
    <row r="108" spans="1:7" x14ac:dyDescent="0.25">
      <c r="A108" s="456" t="s">
        <v>90</v>
      </c>
      <c r="B108" s="58" t="s">
        <v>1086</v>
      </c>
      <c r="C108" s="49"/>
      <c r="D108" s="184"/>
      <c r="E108" s="125"/>
      <c r="F108" s="51"/>
      <c r="G108" s="56"/>
    </row>
    <row r="109" spans="1:7" ht="52.5" customHeight="1" outlineLevel="1" x14ac:dyDescent="0.25">
      <c r="A109" s="457"/>
      <c r="B109" s="42" t="s">
        <v>1114</v>
      </c>
      <c r="C109" s="43" t="str">
        <f>'[1]Diamond VPN FW - UTM'!C106</f>
        <v>BF-2-067</v>
      </c>
      <c r="D109" s="121">
        <f>'Diamond VPN FW - UTM'!D113</f>
        <v>1866396</v>
      </c>
      <c r="E109" s="122">
        <f>ROUNDUP(D109*0.95,0)</f>
        <v>1773077</v>
      </c>
      <c r="F109" s="45">
        <v>0.2</v>
      </c>
      <c r="G109" s="48" t="s">
        <v>443</v>
      </c>
    </row>
    <row r="110" spans="1:7" ht="30" customHeight="1" outlineLevel="1" x14ac:dyDescent="0.25">
      <c r="A110" s="458"/>
      <c r="B110" s="42" t="s">
        <v>1060</v>
      </c>
      <c r="C110" s="43" t="s">
        <v>175</v>
      </c>
      <c r="D110" s="121">
        <f>ROUNDUP(('Diamond VPN FW - UTM'!D114+35600)*0.4,0)</f>
        <v>2222768</v>
      </c>
      <c r="E110" s="122">
        <f>ROUNDUP(D110*0.85,0)</f>
        <v>1889353</v>
      </c>
      <c r="F110" s="44" t="s">
        <v>4</v>
      </c>
      <c r="G110" s="46"/>
    </row>
    <row r="111" spans="1:7" ht="54.75" customHeight="1" outlineLevel="1" x14ac:dyDescent="0.25">
      <c r="A111" s="350" t="s">
        <v>91</v>
      </c>
      <c r="B111" s="106" t="s">
        <v>1101</v>
      </c>
      <c r="C111" s="5" t="s">
        <v>176</v>
      </c>
      <c r="D111" s="120">
        <f>ROUNDUP(D109+(D110*1.2),0)</f>
        <v>4533718</v>
      </c>
      <c r="E111" s="120">
        <f>ROUNDUP(E109+(E110*1.2),0)</f>
        <v>4040301</v>
      </c>
      <c r="F111" s="24">
        <v>0.2</v>
      </c>
      <c r="G111" s="91" t="s">
        <v>1603</v>
      </c>
    </row>
    <row r="112" spans="1:7" ht="30" customHeight="1" outlineLevel="1" x14ac:dyDescent="0.25">
      <c r="A112" s="196" t="s">
        <v>92</v>
      </c>
      <c r="B112" s="31" t="str">
        <f>CONCATENATE(H1,H16)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- 7151. Версия IDS»</v>
      </c>
      <c r="C112" s="5" t="s">
        <v>273</v>
      </c>
      <c r="D112" s="120">
        <f>ROUNDUP((D109+D110)*0.2,0)</f>
        <v>817833</v>
      </c>
      <c r="E112" s="120">
        <f>ROUNDUP((E109+E110)*0.2,0)</f>
        <v>732486</v>
      </c>
      <c r="F112" s="107">
        <v>0.2</v>
      </c>
      <c r="G112" s="93"/>
    </row>
    <row r="113" spans="1:7" ht="30" customHeight="1" outlineLevel="1" x14ac:dyDescent="0.25">
      <c r="A113" s="350" t="s">
        <v>523</v>
      </c>
      <c r="B113" s="22" t="str">
        <f>CONCATENATE(H3,H16)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- 7151. Версия IDS»</v>
      </c>
      <c r="C113" s="21" t="s">
        <v>542</v>
      </c>
      <c r="D113" s="118">
        <f>ROUNDUP(D112*0.97*3,0)</f>
        <v>2379895</v>
      </c>
      <c r="E113" s="118">
        <f>ROUNDUP(E112*0.97*3,0)</f>
        <v>2131535</v>
      </c>
      <c r="F113" s="107">
        <v>0.2</v>
      </c>
      <c r="G113" s="197"/>
    </row>
    <row r="114" spans="1:7" ht="30" customHeight="1" outlineLevel="1" thickBot="1" x14ac:dyDescent="0.3">
      <c r="A114" s="89" t="s">
        <v>524</v>
      </c>
      <c r="B114" s="166" t="str">
        <f>CONCATENATE(H4,H16)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- 7151. Версия IDS»</v>
      </c>
      <c r="C114" s="54" t="s">
        <v>554</v>
      </c>
      <c r="D114" s="123">
        <f>ROUNDUP(D112*0.95*5,0)</f>
        <v>3884707</v>
      </c>
      <c r="E114" s="123">
        <f>ROUNDUP(E112*0.95*5,0)</f>
        <v>3479309</v>
      </c>
      <c r="F114" s="60">
        <v>0.2</v>
      </c>
      <c r="G114" s="57"/>
    </row>
    <row r="115" spans="1:7" x14ac:dyDescent="0.25">
      <c r="A115" s="456" t="s">
        <v>93</v>
      </c>
      <c r="B115" s="58" t="s">
        <v>1087</v>
      </c>
      <c r="C115" s="49"/>
      <c r="D115" s="124"/>
      <c r="E115" s="125"/>
      <c r="F115" s="51"/>
      <c r="G115" s="56"/>
    </row>
    <row r="116" spans="1:7" ht="54.75" customHeight="1" outlineLevel="1" x14ac:dyDescent="0.25">
      <c r="A116" s="457"/>
      <c r="B116" s="42" t="s">
        <v>1115</v>
      </c>
      <c r="C116" s="43" t="str">
        <f>'[1]Diamond VPN FW - UTM'!C113</f>
        <v>BF-2-068</v>
      </c>
      <c r="D116" s="121">
        <f>'Diamond VPN FW - UTM'!D120</f>
        <v>72026</v>
      </c>
      <c r="E116" s="122">
        <f>ROUNDUP(D116*0.95,0)</f>
        <v>68425</v>
      </c>
      <c r="F116" s="45">
        <v>0.2</v>
      </c>
      <c r="G116" s="47" t="str">
        <f>'Diamond VPN FW - UTM'!G120</f>
        <v xml:space="preserve">Многофункциональный комплекс сетевой защиты Diamond VPN/FW в промышленном исполнении для монтажа на DIN-рейку. 4 x RJ45 GbE.1 х USB 3.0, 1 x USB 2.0. Рабочая температура  -20°C…55°C. </v>
      </c>
    </row>
    <row r="117" spans="1:7" ht="30" customHeight="1" outlineLevel="1" x14ac:dyDescent="0.25">
      <c r="A117" s="458"/>
      <c r="B117" s="42" t="s">
        <v>1061</v>
      </c>
      <c r="C117" s="43" t="s">
        <v>177</v>
      </c>
      <c r="D117" s="121">
        <f>ROUNDUP(('Diamond VPN FW - UTM'!D121+35600)*0.4,0)</f>
        <v>115742</v>
      </c>
      <c r="E117" s="121">
        <f>ROUNDUP(D117*0.85,0)</f>
        <v>98381</v>
      </c>
      <c r="F117" s="44" t="s">
        <v>4</v>
      </c>
      <c r="G117" s="46"/>
    </row>
    <row r="118" spans="1:7" ht="54.75" customHeight="1" outlineLevel="1" x14ac:dyDescent="0.25">
      <c r="A118" s="350" t="s">
        <v>94</v>
      </c>
      <c r="B118" s="106" t="s">
        <v>1102</v>
      </c>
      <c r="C118" s="5" t="s">
        <v>178</v>
      </c>
      <c r="D118" s="120">
        <f>ROUNDUP(D116+(D117*1.2),0)</f>
        <v>210917</v>
      </c>
      <c r="E118" s="120">
        <f>ROUNDUP(E116+(E117*1.2),0)</f>
        <v>186483</v>
      </c>
      <c r="F118" s="24">
        <v>0.2</v>
      </c>
      <c r="G118" s="91" t="s">
        <v>1604</v>
      </c>
    </row>
    <row r="119" spans="1:7" ht="30.75" customHeight="1" outlineLevel="1" x14ac:dyDescent="0.25">
      <c r="A119" s="196" t="s">
        <v>95</v>
      </c>
      <c r="B119" s="31" t="str">
        <f>CONCATENATE(H1,H17)</f>
        <v>Сертификат активации сервиса прямой технической поддержки  уровня "Стандартный" на 1 год для: «Многофункциональный комплекс сетевой защиты «Diamond VPN/FW» - 8101. Версия IDS»</v>
      </c>
      <c r="C119" s="5" t="s">
        <v>274</v>
      </c>
      <c r="D119" s="120">
        <f>ROUNDUP((D116+D117)*0.2,0)</f>
        <v>37554</v>
      </c>
      <c r="E119" s="120">
        <f>ROUNDUP((E116+E117)*0.2,0)</f>
        <v>33362</v>
      </c>
      <c r="F119" s="107">
        <v>0.2</v>
      </c>
      <c r="G119" s="4"/>
    </row>
    <row r="120" spans="1:7" ht="30.75" customHeight="1" outlineLevel="1" x14ac:dyDescent="0.25">
      <c r="A120" s="350" t="s">
        <v>525</v>
      </c>
      <c r="B120" s="22" t="str">
        <f>CONCATENATE(H3,H17)</f>
        <v>Сертификат активации сервиса прямой технической поддержки  уровня "Стандартный" на 3 года для: «Многофункциональный комплекс сетевой защиты «Diamond VPN/FW» - 8101. Версия IDS»</v>
      </c>
      <c r="C120" s="21" t="s">
        <v>543</v>
      </c>
      <c r="D120" s="118">
        <f>ROUNDUP(D119*0.97*3,0)</f>
        <v>109283</v>
      </c>
      <c r="E120" s="118">
        <f>ROUNDUP(E119*0.97*3,0)</f>
        <v>97084</v>
      </c>
      <c r="F120" s="107">
        <v>0.2</v>
      </c>
      <c r="G120" s="23"/>
    </row>
    <row r="121" spans="1:7" ht="30.75" customHeight="1" outlineLevel="1" thickBot="1" x14ac:dyDescent="0.3">
      <c r="A121" s="89" t="s">
        <v>526</v>
      </c>
      <c r="B121" s="166" t="str">
        <f>CONCATENATE(H4,H17)</f>
        <v>Сертификат активации сервиса прямой технической поддержки  уровня "Стандартный" на 5 лет для: «Многофункциональный комплекс сетевой защиты «Diamond VPN/FW» - 8101. Версия IDS»</v>
      </c>
      <c r="C121" s="54" t="s">
        <v>555</v>
      </c>
      <c r="D121" s="123">
        <f>ROUNDUP(D119*0.95*5,0)</f>
        <v>178382</v>
      </c>
      <c r="E121" s="123">
        <f>ROUNDUP(E119*0.95*5,0)</f>
        <v>158470</v>
      </c>
      <c r="F121" s="60">
        <v>0.2</v>
      </c>
      <c r="G121" s="14"/>
    </row>
    <row r="122" spans="1:7" ht="15.75" thickBot="1" x14ac:dyDescent="0.3">
      <c r="A122" s="70"/>
      <c r="B122" s="94" t="s">
        <v>33</v>
      </c>
      <c r="C122" s="95"/>
      <c r="D122" s="128"/>
      <c r="E122" s="128"/>
      <c r="F122" s="96"/>
      <c r="G122" s="97"/>
    </row>
    <row r="123" spans="1:7" ht="30.75" customHeight="1" outlineLevel="1" x14ac:dyDescent="0.25">
      <c r="A123" s="85">
        <v>17</v>
      </c>
      <c r="B123" s="11" t="s">
        <v>1088</v>
      </c>
      <c r="C123" s="21" t="s">
        <v>183</v>
      </c>
      <c r="D123" s="118">
        <v>500</v>
      </c>
      <c r="E123" s="119">
        <f>D123*0.85</f>
        <v>425</v>
      </c>
      <c r="F123" s="24">
        <v>0.2</v>
      </c>
      <c r="G123" s="23" t="s">
        <v>34</v>
      </c>
    </row>
    <row r="124" spans="1:7" ht="39" customHeight="1" outlineLevel="1" thickBot="1" x14ac:dyDescent="0.3">
      <c r="A124" s="112">
        <v>19</v>
      </c>
      <c r="B124" s="79" t="s">
        <v>1089</v>
      </c>
      <c r="C124" s="5" t="s">
        <v>184</v>
      </c>
      <c r="D124" s="120">
        <f>12500*1.04</f>
        <v>13000</v>
      </c>
      <c r="E124" s="120">
        <f>D124*0.85</f>
        <v>11050</v>
      </c>
      <c r="F124" s="107">
        <v>0.2</v>
      </c>
      <c r="G124" s="4" t="s">
        <v>1116</v>
      </c>
    </row>
    <row r="125" spans="1:7" ht="72.95" customHeight="1" outlineLevel="1" thickBot="1" x14ac:dyDescent="0.3">
      <c r="A125" s="73"/>
      <c r="B125" s="15" t="s">
        <v>829</v>
      </c>
      <c r="C125" s="16"/>
      <c r="D125" s="17"/>
      <c r="E125" s="17"/>
      <c r="F125" s="17"/>
      <c r="G125" s="18" t="s">
        <v>1046</v>
      </c>
    </row>
    <row r="126" spans="1:7" ht="83.1" customHeight="1" outlineLevel="1" thickBot="1" x14ac:dyDescent="0.3">
      <c r="A126" s="70">
        <v>20</v>
      </c>
      <c r="B126" s="291" t="s">
        <v>1465</v>
      </c>
      <c r="C126" s="174" t="s">
        <v>367</v>
      </c>
      <c r="D126" s="83">
        <v>0.2</v>
      </c>
      <c r="E126" s="83">
        <v>0.2</v>
      </c>
      <c r="F126" s="110">
        <v>0.2</v>
      </c>
      <c r="G126" s="105" t="s">
        <v>1048</v>
      </c>
    </row>
    <row r="127" spans="1:7" ht="105" customHeight="1" outlineLevel="1" thickBot="1" x14ac:dyDescent="0.3">
      <c r="A127" s="70">
        <v>21</v>
      </c>
      <c r="B127" s="213" t="s">
        <v>1466</v>
      </c>
      <c r="C127" s="174" t="s">
        <v>663</v>
      </c>
      <c r="D127" s="83">
        <v>0.2</v>
      </c>
      <c r="E127" s="83">
        <v>0.2</v>
      </c>
      <c r="F127" s="110">
        <v>0.2</v>
      </c>
      <c r="G127" s="6" t="s">
        <v>1038</v>
      </c>
    </row>
    <row r="128" spans="1:7" ht="83.1" customHeight="1" outlineLevel="1" thickBot="1" x14ac:dyDescent="0.3">
      <c r="A128" s="70">
        <v>22</v>
      </c>
      <c r="B128" s="290" t="s">
        <v>1467</v>
      </c>
      <c r="C128" s="174" t="s">
        <v>664</v>
      </c>
      <c r="D128" s="83">
        <v>0.2</v>
      </c>
      <c r="E128" s="83">
        <v>0.2</v>
      </c>
      <c r="F128" s="110">
        <v>0.2</v>
      </c>
      <c r="G128" s="318" t="s">
        <v>1314</v>
      </c>
    </row>
    <row r="129" spans="1:7" ht="83.1" customHeight="1" thickBot="1" x14ac:dyDescent="0.3">
      <c r="A129" s="70">
        <v>23</v>
      </c>
      <c r="B129" s="169" t="s">
        <v>1468</v>
      </c>
      <c r="C129" s="174" t="s">
        <v>420</v>
      </c>
      <c r="D129" s="13">
        <v>0.3</v>
      </c>
      <c r="E129" s="13">
        <v>0.3</v>
      </c>
      <c r="F129" s="110">
        <v>0.2</v>
      </c>
      <c r="G129" s="6" t="s">
        <v>1039</v>
      </c>
    </row>
    <row r="130" spans="1:7" ht="83.1" customHeight="1" outlineLevel="1" thickBot="1" x14ac:dyDescent="0.3">
      <c r="A130" s="70">
        <v>24</v>
      </c>
      <c r="B130" s="169" t="s">
        <v>1469</v>
      </c>
      <c r="C130" s="174" t="s">
        <v>665</v>
      </c>
      <c r="D130" s="13">
        <v>0.3</v>
      </c>
      <c r="E130" s="13">
        <v>0.3</v>
      </c>
      <c r="F130" s="110">
        <v>0.2</v>
      </c>
      <c r="G130" s="6" t="s">
        <v>1040</v>
      </c>
    </row>
    <row r="131" spans="1:7" ht="83.1" customHeight="1" outlineLevel="1" thickBot="1" x14ac:dyDescent="0.3">
      <c r="A131" s="70">
        <v>25</v>
      </c>
      <c r="B131" s="169" t="s">
        <v>1470</v>
      </c>
      <c r="C131" s="174" t="s">
        <v>666</v>
      </c>
      <c r="D131" s="13">
        <v>0.3</v>
      </c>
      <c r="E131" s="13">
        <v>0.3</v>
      </c>
      <c r="F131" s="110">
        <v>0.2</v>
      </c>
      <c r="G131" s="6" t="s">
        <v>1041</v>
      </c>
    </row>
    <row r="132" spans="1:7" ht="120" customHeight="1" thickBot="1" x14ac:dyDescent="0.3">
      <c r="A132" s="70">
        <v>26</v>
      </c>
      <c r="B132" s="170" t="s">
        <v>1471</v>
      </c>
      <c r="C132" s="174" t="s">
        <v>421</v>
      </c>
      <c r="D132" s="147">
        <v>0.35</v>
      </c>
      <c r="E132" s="147">
        <v>0.35</v>
      </c>
      <c r="F132" s="148">
        <v>0.2</v>
      </c>
      <c r="G132" s="6" t="s">
        <v>1043</v>
      </c>
    </row>
    <row r="133" spans="1:7" ht="120" customHeight="1" outlineLevel="1" thickBot="1" x14ac:dyDescent="0.3">
      <c r="A133" s="70">
        <v>27</v>
      </c>
      <c r="B133" s="170" t="s">
        <v>1472</v>
      </c>
      <c r="C133" s="174" t="s">
        <v>667</v>
      </c>
      <c r="D133" s="147">
        <v>0.35</v>
      </c>
      <c r="E133" s="147">
        <v>0.35</v>
      </c>
      <c r="F133" s="148">
        <v>0.2</v>
      </c>
      <c r="G133" s="6" t="s">
        <v>1044</v>
      </c>
    </row>
    <row r="134" spans="1:7" ht="120" customHeight="1" outlineLevel="1" thickBot="1" x14ac:dyDescent="0.3">
      <c r="A134" s="70">
        <v>28</v>
      </c>
      <c r="B134" s="170" t="s">
        <v>1473</v>
      </c>
      <c r="C134" s="174" t="s">
        <v>668</v>
      </c>
      <c r="D134" s="147">
        <v>0.35</v>
      </c>
      <c r="E134" s="147">
        <v>0.35</v>
      </c>
      <c r="F134" s="148">
        <v>0.2</v>
      </c>
      <c r="G134" s="6" t="s">
        <v>1045</v>
      </c>
    </row>
    <row r="135" spans="1:7" ht="25.5" customHeight="1" outlineLevel="1" thickBot="1" x14ac:dyDescent="0.3">
      <c r="A135" s="70">
        <v>29</v>
      </c>
      <c r="B135" s="149" t="s">
        <v>1474</v>
      </c>
      <c r="C135" s="174" t="s">
        <v>433</v>
      </c>
      <c r="D135" s="110">
        <v>0.15</v>
      </c>
      <c r="E135" s="110">
        <v>0.15</v>
      </c>
      <c r="F135" s="148">
        <v>0.2</v>
      </c>
      <c r="G135" s="6" t="s">
        <v>1047</v>
      </c>
    </row>
    <row r="136" spans="1:7" ht="25.5" customHeight="1" outlineLevel="1" thickBot="1" x14ac:dyDescent="0.3">
      <c r="A136" s="70">
        <v>30</v>
      </c>
      <c r="B136" s="150" t="s">
        <v>1475</v>
      </c>
      <c r="C136" s="176" t="s">
        <v>434</v>
      </c>
      <c r="D136" s="111">
        <v>0.25</v>
      </c>
      <c r="E136" s="111">
        <v>0.25</v>
      </c>
      <c r="F136" s="111">
        <v>0.2</v>
      </c>
      <c r="G136" s="14" t="s">
        <v>1047</v>
      </c>
    </row>
    <row r="137" spans="1:7" ht="165" customHeight="1" outlineLevel="1" x14ac:dyDescent="0.25"/>
    <row r="138" spans="1:7" ht="165" customHeight="1" outlineLevel="1" x14ac:dyDescent="0.25"/>
    <row r="139" spans="1:7" ht="165" customHeight="1" outlineLevel="1" x14ac:dyDescent="0.25"/>
    <row r="140" spans="1:7" ht="165" customHeight="1" outlineLevel="1" x14ac:dyDescent="0.25"/>
    <row r="141" spans="1:7" ht="165" customHeight="1" outlineLevel="1" x14ac:dyDescent="0.25"/>
    <row r="142" spans="1:7" ht="43.5" customHeight="1" outlineLevel="1" x14ac:dyDescent="0.25"/>
    <row r="143" spans="1:7" ht="45.75" customHeight="1" outlineLevel="1" x14ac:dyDescent="0.25"/>
    <row r="144" spans="1:7" ht="39" customHeight="1" x14ac:dyDescent="0.25"/>
    <row r="147" ht="30" customHeight="1" x14ac:dyDescent="0.25"/>
    <row r="148" ht="30" customHeight="1" x14ac:dyDescent="0.25"/>
    <row r="149" ht="30" customHeight="1" x14ac:dyDescent="0.25"/>
    <row r="151" ht="39" customHeight="1" x14ac:dyDescent="0.25"/>
    <row r="154" ht="30.75" customHeight="1" x14ac:dyDescent="0.25"/>
    <row r="155" ht="30.75" customHeight="1" x14ac:dyDescent="0.25"/>
    <row r="156" ht="30.75" customHeight="1" x14ac:dyDescent="0.25"/>
    <row r="158" ht="39" customHeight="1" x14ac:dyDescent="0.25"/>
    <row r="161" ht="28.5" customHeight="1" x14ac:dyDescent="0.25"/>
    <row r="162" ht="28.5" customHeight="1" x14ac:dyDescent="0.25"/>
    <row r="163" ht="28.5" customHeight="1" x14ac:dyDescent="0.25"/>
    <row r="165" ht="39" customHeight="1" x14ac:dyDescent="0.25"/>
    <row r="168" ht="30" customHeight="1" x14ac:dyDescent="0.25"/>
    <row r="169" ht="30" customHeight="1" x14ac:dyDescent="0.25"/>
    <row r="170" ht="30" customHeight="1" x14ac:dyDescent="0.25"/>
    <row r="172" ht="39" customHeight="1" x14ac:dyDescent="0.25"/>
    <row r="175" ht="30" customHeight="1" x14ac:dyDescent="0.25"/>
    <row r="176" ht="30" customHeight="1" x14ac:dyDescent="0.25"/>
    <row r="177" ht="30" customHeight="1" x14ac:dyDescent="0.25"/>
    <row r="179" ht="39" customHeight="1" x14ac:dyDescent="0.25"/>
    <row r="182" ht="30" customHeight="1" x14ac:dyDescent="0.25"/>
    <row r="183" ht="30" customHeight="1" x14ac:dyDescent="0.25"/>
    <row r="184" ht="30" customHeight="1" x14ac:dyDescent="0.25"/>
    <row r="186" ht="38.25" customHeight="1" x14ac:dyDescent="0.25"/>
    <row r="189" ht="30.75" customHeight="1" x14ac:dyDescent="0.25"/>
    <row r="190" ht="30.75" customHeight="1" x14ac:dyDescent="0.25"/>
    <row r="191" ht="30.75" customHeight="1" x14ac:dyDescent="0.25"/>
    <row r="193" ht="37.5" customHeight="1" x14ac:dyDescent="0.25"/>
    <row r="196" ht="30" customHeight="1" x14ac:dyDescent="0.25"/>
    <row r="197" ht="30" customHeight="1" x14ac:dyDescent="0.25"/>
    <row r="198" ht="30" customHeight="1" x14ac:dyDescent="0.25"/>
    <row r="200" ht="37.5" customHeight="1" x14ac:dyDescent="0.25"/>
    <row r="203" ht="30" customHeight="1" x14ac:dyDescent="0.25"/>
    <row r="204" ht="30" customHeight="1" x14ac:dyDescent="0.25"/>
    <row r="205" ht="30" customHeight="1" x14ac:dyDescent="0.25"/>
    <row r="207" ht="38.25" customHeight="1" x14ac:dyDescent="0.25"/>
    <row r="210" ht="29.25" customHeight="1" x14ac:dyDescent="0.25"/>
    <row r="211" ht="29.25" customHeight="1" x14ac:dyDescent="0.25"/>
    <row r="212" ht="29.25" customHeight="1" x14ac:dyDescent="0.25"/>
    <row r="214" ht="53.25" customHeight="1" x14ac:dyDescent="0.25"/>
    <row r="217" ht="30" customHeight="1" x14ac:dyDescent="0.25"/>
    <row r="218" ht="30" customHeight="1" x14ac:dyDescent="0.25"/>
    <row r="219" ht="30" customHeight="1" x14ac:dyDescent="0.25"/>
    <row r="221" ht="59.25" customHeight="1" x14ac:dyDescent="0.25"/>
    <row r="224" ht="30" customHeight="1" x14ac:dyDescent="0.25"/>
    <row r="225" ht="30" customHeight="1" x14ac:dyDescent="0.25"/>
    <row r="226" ht="30" customHeight="1" x14ac:dyDescent="0.25"/>
    <row r="228" ht="58.5" customHeight="1" x14ac:dyDescent="0.25"/>
    <row r="231" ht="30" customHeight="1" x14ac:dyDescent="0.25"/>
    <row r="232" ht="30" customHeight="1" x14ac:dyDescent="0.25"/>
    <row r="233" ht="30" customHeight="1" x14ac:dyDescent="0.25"/>
    <row r="235" ht="63.75" customHeight="1" x14ac:dyDescent="0.25"/>
    <row r="238" ht="31.5" customHeight="1" x14ac:dyDescent="0.25"/>
    <row r="239" ht="31.5" customHeight="1" x14ac:dyDescent="0.25"/>
    <row r="240" ht="31.5" customHeight="1" x14ac:dyDescent="0.25"/>
    <row r="242" ht="60.75" customHeight="1" x14ac:dyDescent="0.25"/>
    <row r="245" ht="30" customHeight="1" x14ac:dyDescent="0.25"/>
    <row r="246" ht="30" customHeight="1" x14ac:dyDescent="0.25"/>
    <row r="247" ht="30" customHeight="1" x14ac:dyDescent="0.25"/>
    <row r="249" ht="57" customHeight="1" x14ac:dyDescent="0.25"/>
    <row r="252" ht="30.75" customHeight="1" x14ac:dyDescent="0.25"/>
    <row r="253" ht="30.75" customHeight="1" x14ac:dyDescent="0.25"/>
    <row r="254" ht="30.75" customHeight="1" x14ac:dyDescent="0.25"/>
    <row r="256" ht="53.25" customHeight="1" x14ac:dyDescent="0.25"/>
    <row r="259" ht="30.75" customHeight="1" x14ac:dyDescent="0.25"/>
    <row r="260" ht="30.75" customHeight="1" x14ac:dyDescent="0.25"/>
    <row r="261" ht="30.75" customHeight="1" x14ac:dyDescent="0.25"/>
    <row r="263" ht="59.25" customHeight="1" x14ac:dyDescent="0.25"/>
    <row r="266" ht="30" customHeight="1" x14ac:dyDescent="0.25"/>
    <row r="267" ht="30" customHeight="1" x14ac:dyDescent="0.25"/>
    <row r="268" ht="30" customHeight="1" x14ac:dyDescent="0.25"/>
    <row r="270" ht="60" customHeight="1" x14ac:dyDescent="0.25"/>
    <row r="273" ht="30" customHeight="1" x14ac:dyDescent="0.25"/>
    <row r="274" ht="30" customHeight="1" x14ac:dyDescent="0.25"/>
    <row r="275" ht="30" customHeight="1" x14ac:dyDescent="0.25"/>
    <row r="277" ht="57" customHeight="1" x14ac:dyDescent="0.25"/>
    <row r="280" ht="30.75" customHeight="1" x14ac:dyDescent="0.25"/>
    <row r="281" ht="30.75" customHeight="1" x14ac:dyDescent="0.25"/>
    <row r="282" ht="30.75" customHeight="1" x14ac:dyDescent="0.25"/>
    <row r="284" ht="60" customHeight="1" x14ac:dyDescent="0.25"/>
    <row r="287" ht="30" customHeight="1" x14ac:dyDescent="0.25"/>
    <row r="288" ht="30" customHeight="1" x14ac:dyDescent="0.25"/>
    <row r="289" ht="30" customHeight="1" x14ac:dyDescent="0.25"/>
    <row r="291" ht="55.5" customHeight="1" x14ac:dyDescent="0.25"/>
    <row r="294" ht="30" customHeight="1" x14ac:dyDescent="0.25"/>
    <row r="295" ht="30" customHeight="1" x14ac:dyDescent="0.25"/>
    <row r="296" ht="30" customHeight="1" x14ac:dyDescent="0.25"/>
    <row r="298" ht="57" customHeight="1" x14ac:dyDescent="0.25"/>
    <row r="301" ht="28.5" customHeight="1" x14ac:dyDescent="0.25"/>
    <row r="302" ht="28.5" customHeight="1" x14ac:dyDescent="0.25"/>
    <row r="303" ht="28.5" customHeight="1" x14ac:dyDescent="0.25"/>
    <row r="305" ht="49.5" customHeight="1" x14ac:dyDescent="0.25"/>
    <row r="308" ht="30" customHeight="1" x14ac:dyDescent="0.25"/>
    <row r="309" ht="30" customHeight="1" x14ac:dyDescent="0.25"/>
    <row r="310" ht="30" customHeight="1" x14ac:dyDescent="0.25"/>
    <row r="312" ht="55.5" customHeight="1" x14ac:dyDescent="0.25"/>
    <row r="315" ht="30" customHeight="1" x14ac:dyDescent="0.25"/>
    <row r="316" ht="30" customHeight="1" x14ac:dyDescent="0.25"/>
    <row r="317" ht="30" customHeight="1" x14ac:dyDescent="0.25"/>
    <row r="319" ht="63.75" customHeight="1" x14ac:dyDescent="0.25"/>
    <row r="322" ht="30.75" customHeight="1" x14ac:dyDescent="0.25"/>
    <row r="323" ht="30.75" customHeight="1" x14ac:dyDescent="0.25"/>
    <row r="324" ht="30.75" customHeight="1" x14ac:dyDescent="0.25"/>
    <row r="326" ht="61.5" customHeight="1" x14ac:dyDescent="0.25"/>
    <row r="329" ht="30.75" customHeight="1" x14ac:dyDescent="0.25"/>
    <row r="330" ht="30.75" customHeight="1" x14ac:dyDescent="0.25"/>
    <row r="331" ht="30.75" customHeight="1" x14ac:dyDescent="0.25"/>
    <row r="333" ht="57" customHeight="1" x14ac:dyDescent="0.25"/>
    <row r="336" ht="30" customHeight="1" x14ac:dyDescent="0.25"/>
    <row r="337" ht="30" customHeight="1" x14ac:dyDescent="0.25"/>
    <row r="338" ht="30" customHeight="1" x14ac:dyDescent="0.25"/>
    <row r="340" ht="57" customHeight="1" x14ac:dyDescent="0.25"/>
    <row r="343" ht="30" customHeight="1" x14ac:dyDescent="0.25"/>
    <row r="344" ht="30" customHeight="1" x14ac:dyDescent="0.25"/>
    <row r="345" ht="30" customHeight="1" x14ac:dyDescent="0.25"/>
    <row r="346" ht="15" customHeight="1" x14ac:dyDescent="0.25"/>
    <row r="347" ht="54" customHeight="1" x14ac:dyDescent="0.25"/>
    <row r="348" ht="30" customHeight="1" x14ac:dyDescent="0.25"/>
    <row r="349" ht="15" customHeight="1" x14ac:dyDescent="0.25"/>
    <row r="350" ht="30" customHeight="1" x14ac:dyDescent="0.25"/>
    <row r="351" ht="30" customHeight="1" x14ac:dyDescent="0.25"/>
    <row r="352" ht="30" customHeight="1" x14ac:dyDescent="0.25"/>
    <row r="354" ht="45" customHeight="1" x14ac:dyDescent="0.25"/>
    <row r="357" ht="30" customHeight="1" x14ac:dyDescent="0.25"/>
    <row r="358" ht="30" customHeight="1" x14ac:dyDescent="0.25"/>
    <row r="359" ht="30" customHeight="1" x14ac:dyDescent="0.25"/>
    <row r="361" ht="52.5" customHeight="1" x14ac:dyDescent="0.25"/>
    <row r="364" ht="30" customHeight="1" x14ac:dyDescent="0.25"/>
    <row r="365" ht="30" customHeight="1" x14ac:dyDescent="0.25"/>
    <row r="366" ht="30" customHeight="1" x14ac:dyDescent="0.25"/>
    <row r="368" ht="46.5" customHeight="1" x14ac:dyDescent="0.25"/>
    <row r="371" ht="30" customHeight="1" x14ac:dyDescent="0.25"/>
    <row r="372" ht="30" customHeight="1" x14ac:dyDescent="0.25"/>
    <row r="373" ht="30" customHeight="1" x14ac:dyDescent="0.25"/>
    <row r="375" ht="43.5" customHeight="1" x14ac:dyDescent="0.25"/>
    <row r="378" ht="30.75" customHeight="1" x14ac:dyDescent="0.25"/>
    <row r="379" ht="30.75" customHeight="1" x14ac:dyDescent="0.25"/>
    <row r="380" ht="30.75" customHeight="1" x14ac:dyDescent="0.25"/>
    <row r="382" ht="36" customHeight="1" x14ac:dyDescent="0.25"/>
    <row r="385" ht="30.75" customHeight="1" x14ac:dyDescent="0.25"/>
    <row r="386" ht="30.75" customHeight="1" x14ac:dyDescent="0.25"/>
    <row r="387" ht="30.75" customHeight="1" x14ac:dyDescent="0.25"/>
    <row r="389" ht="23.25" customHeight="1" x14ac:dyDescent="0.25"/>
    <row r="390" ht="24" customHeight="1" x14ac:dyDescent="0.25"/>
    <row r="392" ht="24.75" customHeight="1" x14ac:dyDescent="0.25"/>
    <row r="393" ht="23.25" customHeight="1" x14ac:dyDescent="0.25"/>
    <row r="394" ht="25.5" customHeight="1" x14ac:dyDescent="0.25"/>
    <row r="395" ht="24" customHeight="1" x14ac:dyDescent="0.25"/>
    <row r="396" ht="23.25" customHeight="1" x14ac:dyDescent="0.25"/>
    <row r="397" ht="25.5" customHeight="1" x14ac:dyDescent="0.25"/>
    <row r="398" ht="24.75" customHeight="1" x14ac:dyDescent="0.25"/>
    <row r="399" ht="24.75" customHeight="1" x14ac:dyDescent="0.25"/>
    <row r="400" ht="24.75" customHeight="1" x14ac:dyDescent="0.25"/>
    <row r="401" ht="24.75" customHeight="1" x14ac:dyDescent="0.25"/>
    <row r="402" ht="25.5" customHeight="1" x14ac:dyDescent="0.25"/>
  </sheetData>
  <mergeCells count="19">
    <mergeCell ref="A52:A54"/>
    <mergeCell ref="A1:F6"/>
    <mergeCell ref="A7:F7"/>
    <mergeCell ref="G1:G7"/>
    <mergeCell ref="A38:A40"/>
    <mergeCell ref="A45:A47"/>
    <mergeCell ref="A17:A19"/>
    <mergeCell ref="A31:A33"/>
    <mergeCell ref="A10:A12"/>
    <mergeCell ref="B9:G9"/>
    <mergeCell ref="A108:A110"/>
    <mergeCell ref="A115:A117"/>
    <mergeCell ref="A101:A103"/>
    <mergeCell ref="A59:A61"/>
    <mergeCell ref="A94:A96"/>
    <mergeCell ref="A87:A89"/>
    <mergeCell ref="A66:A68"/>
    <mergeCell ref="A73:A75"/>
    <mergeCell ref="A80:A82"/>
  </mergeCell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>
    <oddHeader>&amp;F</oddHeader>
    <oddFooter>&amp;CDiamond VPN/FW - IDS;Страница  &amp;P из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132"/>
  <sheetViews>
    <sheetView showGridLines="0" showRowColHeaders="0" zoomScale="70" zoomScaleNormal="7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G22" sqref="G22"/>
    </sheetView>
  </sheetViews>
  <sheetFormatPr defaultRowHeight="15" x14ac:dyDescent="0.25"/>
  <cols>
    <col min="1" max="1" width="5.140625" customWidth="1"/>
    <col min="2" max="2" width="101.85546875" customWidth="1"/>
    <col min="3" max="3" width="12.140625" customWidth="1"/>
    <col min="4" max="5" width="15.7109375" customWidth="1"/>
    <col min="6" max="6" width="11.42578125" customWidth="1"/>
    <col min="7" max="7" width="79.7109375" customWidth="1"/>
  </cols>
  <sheetData>
    <row r="1" spans="1:10" ht="15" customHeight="1" x14ac:dyDescent="0.25">
      <c r="A1" s="470" t="s">
        <v>1692</v>
      </c>
      <c r="B1" s="470"/>
      <c r="C1" s="470"/>
      <c r="D1" s="470"/>
      <c r="E1" s="470"/>
      <c r="F1" s="471"/>
      <c r="G1" s="449" t="s">
        <v>40</v>
      </c>
      <c r="H1" s="272" t="s">
        <v>1024</v>
      </c>
      <c r="I1" s="81"/>
    </row>
    <row r="2" spans="1:10" x14ac:dyDescent="0.25">
      <c r="A2" s="470"/>
      <c r="B2" s="470"/>
      <c r="C2" s="470"/>
      <c r="D2" s="470"/>
      <c r="E2" s="470"/>
      <c r="F2" s="471"/>
      <c r="G2" s="449"/>
      <c r="H2" s="356" t="s">
        <v>455</v>
      </c>
      <c r="I2" s="81"/>
    </row>
    <row r="3" spans="1:10" x14ac:dyDescent="0.25">
      <c r="A3" s="470"/>
      <c r="B3" s="470"/>
      <c r="C3" s="470"/>
      <c r="D3" s="470"/>
      <c r="E3" s="470"/>
      <c r="F3" s="471"/>
      <c r="G3" s="449"/>
      <c r="H3" s="356" t="s">
        <v>1021</v>
      </c>
      <c r="I3" s="81"/>
    </row>
    <row r="4" spans="1:10" x14ac:dyDescent="0.25">
      <c r="A4" s="470"/>
      <c r="B4" s="470"/>
      <c r="C4" s="470"/>
      <c r="D4" s="470"/>
      <c r="E4" s="470"/>
      <c r="F4" s="471"/>
      <c r="G4" s="449"/>
      <c r="H4" s="191" t="s">
        <v>1022</v>
      </c>
    </row>
    <row r="5" spans="1:10" x14ac:dyDescent="0.25">
      <c r="A5" s="470"/>
      <c r="B5" s="470"/>
      <c r="C5" s="470"/>
      <c r="D5" s="470"/>
      <c r="E5" s="470"/>
      <c r="F5" s="471"/>
      <c r="G5" s="449"/>
      <c r="H5" s="379" t="s">
        <v>1694</v>
      </c>
      <c r="I5" s="378"/>
      <c r="J5" s="378"/>
    </row>
    <row r="6" spans="1:10" x14ac:dyDescent="0.25">
      <c r="A6" s="470"/>
      <c r="B6" s="470"/>
      <c r="C6" s="470"/>
      <c r="D6" s="470"/>
      <c r="E6" s="470"/>
      <c r="F6" s="471"/>
      <c r="G6" s="449"/>
      <c r="H6" s="379" t="s">
        <v>1695</v>
      </c>
      <c r="I6" s="378"/>
      <c r="J6" s="378"/>
    </row>
    <row r="7" spans="1:10" ht="15.75" thickBot="1" x14ac:dyDescent="0.3">
      <c r="A7" s="453" t="s">
        <v>1693</v>
      </c>
      <c r="B7" s="472"/>
      <c r="C7" s="472"/>
      <c r="D7" s="472"/>
      <c r="E7" s="472"/>
      <c r="F7" s="473"/>
      <c r="G7" s="449"/>
      <c r="H7" s="379" t="s">
        <v>1696</v>
      </c>
      <c r="I7" s="378"/>
      <c r="J7" s="378"/>
    </row>
    <row r="8" spans="1:10" ht="26.25" thickBot="1" x14ac:dyDescent="0.3">
      <c r="A8" s="376" t="s">
        <v>13</v>
      </c>
      <c r="B8" s="27" t="s">
        <v>0</v>
      </c>
      <c r="C8" s="28" t="s">
        <v>1</v>
      </c>
      <c r="D8" s="28" t="s">
        <v>765</v>
      </c>
      <c r="E8" s="28" t="s">
        <v>767</v>
      </c>
      <c r="F8" s="28" t="s">
        <v>3</v>
      </c>
      <c r="G8" s="30" t="s">
        <v>828</v>
      </c>
      <c r="H8" s="379" t="s">
        <v>1697</v>
      </c>
      <c r="I8" s="378"/>
      <c r="J8" s="378"/>
    </row>
    <row r="9" spans="1:10" ht="48.75" customHeight="1" thickBot="1" x14ac:dyDescent="0.3">
      <c r="A9" s="377"/>
      <c r="B9" s="455" t="s">
        <v>1499</v>
      </c>
      <c r="C9" s="444"/>
      <c r="D9" s="444"/>
      <c r="E9" s="444"/>
      <c r="F9" s="444"/>
      <c r="G9" s="445"/>
      <c r="H9" s="379" t="s">
        <v>1698</v>
      </c>
      <c r="I9" s="378"/>
      <c r="J9" s="378"/>
    </row>
    <row r="10" spans="1:10" ht="69.75" customHeight="1" thickTop="1" x14ac:dyDescent="0.25">
      <c r="A10" s="447" t="s">
        <v>45</v>
      </c>
      <c r="B10" s="68" t="s">
        <v>1687</v>
      </c>
      <c r="C10" s="343"/>
      <c r="D10" s="374"/>
      <c r="E10" s="375"/>
      <c r="F10" s="346"/>
      <c r="G10" s="53" t="s">
        <v>1513</v>
      </c>
      <c r="H10" s="379" t="s">
        <v>1699</v>
      </c>
    </row>
    <row r="11" spans="1:10" ht="30" customHeight="1" x14ac:dyDescent="0.25">
      <c r="A11" s="447"/>
      <c r="B11" s="68" t="s">
        <v>1029</v>
      </c>
      <c r="C11" s="67" t="s">
        <v>275</v>
      </c>
      <c r="D11" s="129">
        <v>323211</v>
      </c>
      <c r="E11" s="130">
        <f>ROUNDUP(D11*0.95,0)</f>
        <v>307051</v>
      </c>
      <c r="F11" s="45">
        <v>0.2</v>
      </c>
      <c r="G11" s="47"/>
      <c r="H11" s="379" t="s">
        <v>1700</v>
      </c>
    </row>
    <row r="12" spans="1:10" ht="30" customHeight="1" x14ac:dyDescent="0.25">
      <c r="A12" s="448"/>
      <c r="B12" s="68" t="s">
        <v>1030</v>
      </c>
      <c r="C12" s="67" t="s">
        <v>276</v>
      </c>
      <c r="D12" s="129">
        <f>ROUNDUP(605084.44*1.04,0)-20000</f>
        <v>609288</v>
      </c>
      <c r="E12" s="131">
        <f>ROUNDUP(D12*0.85,0)</f>
        <v>517895</v>
      </c>
      <c r="F12" s="45">
        <v>0.2</v>
      </c>
      <c r="G12" s="47"/>
      <c r="H12" s="379" t="s">
        <v>1701</v>
      </c>
    </row>
    <row r="13" spans="1:10" ht="40.5" customHeight="1" x14ac:dyDescent="0.25">
      <c r="A13" s="306" t="s">
        <v>46</v>
      </c>
      <c r="B13" s="106" t="s">
        <v>1723</v>
      </c>
      <c r="C13" s="20" t="s">
        <v>277</v>
      </c>
      <c r="D13" s="132">
        <f>ROUNDUP(D11+(D12*1.2),0)</f>
        <v>1054357</v>
      </c>
      <c r="E13" s="132">
        <f>ROUNDUP(E11+(E12*1.2),0)</f>
        <v>928525</v>
      </c>
      <c r="F13" s="24">
        <v>0.2</v>
      </c>
      <c r="G13" s="23" t="s">
        <v>1036</v>
      </c>
      <c r="H13" s="379"/>
    </row>
    <row r="14" spans="1:10" ht="30" customHeight="1" x14ac:dyDescent="0.25">
      <c r="A14" s="306" t="s">
        <v>55</v>
      </c>
      <c r="B14" s="31" t="str">
        <f>CONCATENATE(H1,H5)</f>
        <v>Сертификат активации сервиса прямой технической поддержки уровня "Стандартный" на 1 год для: «Центр управления и мониторинга Diamond NCC - 5115. Полная версия VPN/FW/IDS»</v>
      </c>
      <c r="C14" s="202" t="s">
        <v>318</v>
      </c>
      <c r="D14" s="203">
        <f>ROUNDUP((D11+D12)*0.2,0)</f>
        <v>186500</v>
      </c>
      <c r="E14" s="203">
        <f>ROUNDUP((E11+E12)*0.2,0)</f>
        <v>164990</v>
      </c>
      <c r="F14" s="190">
        <v>0.2</v>
      </c>
      <c r="G14" s="4"/>
    </row>
    <row r="15" spans="1:10" ht="30" customHeight="1" x14ac:dyDescent="0.25">
      <c r="A15" s="305" t="s">
        <v>528</v>
      </c>
      <c r="B15" s="22" t="str">
        <f>CONCATENATE(H3,H5)</f>
        <v>Сертификат активации сервиса прямой технической поддержки уровня "Стандартный" на 3 года для: «Центр управления и мониторинга Diamond NCC - 5115. Полная версия VPN/FW/IDS»</v>
      </c>
      <c r="C15" s="20" t="s">
        <v>530</v>
      </c>
      <c r="D15" s="132">
        <f>ROUNDUP(D14*0.97*3,0)</f>
        <v>542715</v>
      </c>
      <c r="E15" s="132">
        <f>ROUNDUP(E14*0.97*3,0)</f>
        <v>480121</v>
      </c>
      <c r="F15" s="190">
        <v>0.2</v>
      </c>
      <c r="G15" s="23"/>
    </row>
    <row r="16" spans="1:10" ht="30" customHeight="1" thickBot="1" x14ac:dyDescent="0.3">
      <c r="A16" s="307" t="s">
        <v>529</v>
      </c>
      <c r="B16" s="166" t="str">
        <f>CONCATENATE(H4,H5)</f>
        <v>Сертификат активации сервиса прямой технической поддержки уровня "Стандартный" на 5 лет для: «Центр управления и мониторинга Diamond NCC - 5115. Полная версия VPN/FW/IDS»</v>
      </c>
      <c r="C16" s="102" t="s">
        <v>531</v>
      </c>
      <c r="D16" s="133">
        <f>ROUNDUP(D14*0.95*5,0)</f>
        <v>885875</v>
      </c>
      <c r="E16" s="133">
        <f>ROUNDUP(E14*0.95*5,0)</f>
        <v>783703</v>
      </c>
      <c r="F16" s="32">
        <v>0.2</v>
      </c>
      <c r="G16" s="14"/>
    </row>
    <row r="17" spans="1:7" ht="69.75" customHeight="1" x14ac:dyDescent="0.25">
      <c r="A17" s="462" t="s">
        <v>56</v>
      </c>
      <c r="B17" s="68" t="s">
        <v>1688</v>
      </c>
      <c r="C17" s="343"/>
      <c r="D17" s="410"/>
      <c r="E17" s="411"/>
      <c r="F17" s="389"/>
      <c r="G17" s="390" t="s">
        <v>1512</v>
      </c>
    </row>
    <row r="18" spans="1:7" ht="30" customHeight="1" x14ac:dyDescent="0.25">
      <c r="A18" s="463"/>
      <c r="B18" s="68" t="s">
        <v>1506</v>
      </c>
      <c r="C18" s="67" t="s">
        <v>1655</v>
      </c>
      <c r="D18" s="129">
        <v>421344</v>
      </c>
      <c r="E18" s="412">
        <f>ROUNDUP(D18*0.95,0)</f>
        <v>400277</v>
      </c>
      <c r="F18" s="45">
        <v>0.2</v>
      </c>
      <c r="G18" s="47"/>
    </row>
    <row r="19" spans="1:7" ht="30" customHeight="1" x14ac:dyDescent="0.25">
      <c r="A19" s="464"/>
      <c r="B19" s="68" t="s">
        <v>1507</v>
      </c>
      <c r="C19" s="67" t="s">
        <v>1656</v>
      </c>
      <c r="D19" s="129">
        <f>ROUNDUP(605084.44*1.04,0)-20000</f>
        <v>609288</v>
      </c>
      <c r="E19" s="131">
        <f>ROUNDUP(D19*0.85,0)</f>
        <v>517895</v>
      </c>
      <c r="F19" s="45">
        <v>0.2</v>
      </c>
      <c r="G19" s="47"/>
    </row>
    <row r="20" spans="1:7" ht="40.5" customHeight="1" x14ac:dyDescent="0.25">
      <c r="A20" s="392" t="s">
        <v>96</v>
      </c>
      <c r="B20" s="106" t="s">
        <v>1724</v>
      </c>
      <c r="C20" s="20" t="s">
        <v>1660</v>
      </c>
      <c r="D20" s="132">
        <f>ROUNDUP(D18+(D19*1.2),0)</f>
        <v>1152490</v>
      </c>
      <c r="E20" s="132">
        <f>ROUNDUP(E18+(E19*1.2),0)</f>
        <v>1021751</v>
      </c>
      <c r="F20" s="24">
        <v>0.2</v>
      </c>
      <c r="G20" s="23" t="s">
        <v>1508</v>
      </c>
    </row>
    <row r="21" spans="1:7" ht="30" customHeight="1" x14ac:dyDescent="0.25">
      <c r="A21" s="392" t="s">
        <v>97</v>
      </c>
      <c r="B21" s="31" t="str">
        <f>CONCATENATE(H1,H9)</f>
        <v>Сертификат активации сервиса прямой технической поддержки уровня "Стандартный" на 1 год для: «Центр управления и мониторинга Diamond NCC - 5215. Полная версия VPN/FW/IDS»</v>
      </c>
      <c r="C21" s="202" t="s">
        <v>1664</v>
      </c>
      <c r="D21" s="203">
        <f>ROUNDUP((D18+D19)*0.2,0)</f>
        <v>206127</v>
      </c>
      <c r="E21" s="203">
        <f>ROUNDUP((E18+E19)*0.2,0)</f>
        <v>183635</v>
      </c>
      <c r="F21" s="190">
        <v>0.2</v>
      </c>
      <c r="G21" s="4"/>
    </row>
    <row r="22" spans="1:7" ht="30" customHeight="1" x14ac:dyDescent="0.25">
      <c r="A22" s="413" t="s">
        <v>475</v>
      </c>
      <c r="B22" s="22" t="str">
        <f>CONCATENATE(H3,H9)</f>
        <v>Сертификат активации сервиса прямой технической поддержки уровня "Стандартный" на 3 года для: «Центр управления и мониторинга Diamond NCC - 5215. Полная версия VPN/FW/IDS»</v>
      </c>
      <c r="C22" s="20" t="s">
        <v>1665</v>
      </c>
      <c r="D22" s="132">
        <f>ROUNDUP(D21*0.97*3,0)</f>
        <v>599830</v>
      </c>
      <c r="E22" s="132">
        <f>ROUNDUP(E21*0.97*3,0)</f>
        <v>534378</v>
      </c>
      <c r="F22" s="190">
        <v>0.2</v>
      </c>
      <c r="G22" s="23"/>
    </row>
    <row r="23" spans="1:7" ht="30" customHeight="1" thickBot="1" x14ac:dyDescent="0.3">
      <c r="A23" s="414" t="s">
        <v>476</v>
      </c>
      <c r="B23" s="166" t="str">
        <f>CONCATENATE(H4,H9)</f>
        <v>Сертификат активации сервиса прямой технической поддержки уровня "Стандартный" на 5 лет для: «Центр управления и мониторинга Diamond NCC - 5215. Полная версия VPN/FW/IDS»</v>
      </c>
      <c r="C23" s="102" t="s">
        <v>1666</v>
      </c>
      <c r="D23" s="133">
        <f>ROUNDUP(D21*0.95*5,0)</f>
        <v>979104</v>
      </c>
      <c r="E23" s="133">
        <f>ROUNDUP(E21*0.95*5,0)</f>
        <v>872267</v>
      </c>
      <c r="F23" s="32">
        <v>0.2</v>
      </c>
      <c r="G23" s="14"/>
    </row>
    <row r="24" spans="1:7" ht="49.5" customHeight="1" x14ac:dyDescent="0.25">
      <c r="A24" s="447" t="s">
        <v>57</v>
      </c>
      <c r="B24" s="342" t="s">
        <v>1725</v>
      </c>
      <c r="C24" s="343"/>
      <c r="D24" s="344"/>
      <c r="E24" s="345"/>
      <c r="F24" s="346"/>
      <c r="G24" s="53" t="s">
        <v>1511</v>
      </c>
    </row>
    <row r="25" spans="1:7" ht="30" customHeight="1" x14ac:dyDescent="0.25">
      <c r="A25" s="447"/>
      <c r="B25" s="68" t="s">
        <v>1029</v>
      </c>
      <c r="C25" s="67" t="s">
        <v>275</v>
      </c>
      <c r="D25" s="129">
        <f>D11</f>
        <v>323211</v>
      </c>
      <c r="E25" s="131">
        <f>ROUNDUP(D25*0.95,0)</f>
        <v>307051</v>
      </c>
      <c r="F25" s="45">
        <v>0.2</v>
      </c>
      <c r="G25" s="47"/>
    </row>
    <row r="26" spans="1:7" ht="30" customHeight="1" x14ac:dyDescent="0.25">
      <c r="A26" s="448"/>
      <c r="B26" s="68" t="s">
        <v>1031</v>
      </c>
      <c r="C26" s="67" t="s">
        <v>900</v>
      </c>
      <c r="D26" s="129">
        <f>ROUNDUP(D12*0.4,0)</f>
        <v>243716</v>
      </c>
      <c r="E26" s="131">
        <f>ROUNDUP(D26*0.85,0)</f>
        <v>207159</v>
      </c>
      <c r="F26" s="45">
        <v>0.2</v>
      </c>
      <c r="G26" s="47"/>
    </row>
    <row r="27" spans="1:7" ht="40.5" customHeight="1" x14ac:dyDescent="0.25">
      <c r="A27" s="353" t="s">
        <v>58</v>
      </c>
      <c r="B27" s="106" t="s">
        <v>1726</v>
      </c>
      <c r="C27" s="20" t="s">
        <v>901</v>
      </c>
      <c r="D27" s="132">
        <f>ROUNDUP(D25+(D26*1.2),0)</f>
        <v>615671</v>
      </c>
      <c r="E27" s="132">
        <f>ROUNDUP(E25+(E26*1.2),0)</f>
        <v>555642</v>
      </c>
      <c r="F27" s="24">
        <v>0.2</v>
      </c>
      <c r="G27" s="23" t="s">
        <v>1032</v>
      </c>
    </row>
    <row r="28" spans="1:7" ht="30" customHeight="1" x14ac:dyDescent="0.25">
      <c r="A28" s="352" t="s">
        <v>59</v>
      </c>
      <c r="B28" s="31" t="str">
        <f>CONCATENATE(H1,H6)</f>
        <v>Сертификат активации сервиса прямой технической поддержки уровня "Стандартный" на 1 год для: «Центр управления и мониторинга Diamond NCC - 5115. Версия VPN»</v>
      </c>
      <c r="C28" s="202" t="s">
        <v>902</v>
      </c>
      <c r="D28" s="203">
        <f>ROUNDUP((D25+D26)*0.2,0)</f>
        <v>113386</v>
      </c>
      <c r="E28" s="203">
        <f>ROUNDUP((E25+E26)*0.2,0)</f>
        <v>102842</v>
      </c>
      <c r="F28" s="190">
        <v>0.2</v>
      </c>
      <c r="G28" s="4"/>
    </row>
    <row r="29" spans="1:7" ht="30" customHeight="1" x14ac:dyDescent="0.25">
      <c r="A29" s="353" t="s">
        <v>477</v>
      </c>
      <c r="B29" s="22" t="str">
        <f>CONCATENATE(H3,H6)</f>
        <v>Сертификат активации сервиса прямой технической поддержки уровня "Стандартный" на 3 года для: «Центр управления и мониторинга Diamond NCC - 5115. Версия VPN»</v>
      </c>
      <c r="C29" s="20" t="s">
        <v>903</v>
      </c>
      <c r="D29" s="132">
        <f>ROUNDUP(D28*0.97*3,0)</f>
        <v>329954</v>
      </c>
      <c r="E29" s="132">
        <f>ROUNDUP(E28*0.97*3,0)</f>
        <v>299271</v>
      </c>
      <c r="F29" s="190">
        <v>0.2</v>
      </c>
      <c r="G29" s="23"/>
    </row>
    <row r="30" spans="1:7" ht="30" customHeight="1" thickBot="1" x14ac:dyDescent="0.3">
      <c r="A30" s="219" t="s">
        <v>478</v>
      </c>
      <c r="B30" s="166" t="str">
        <f>CONCATENATE(H4,H6)</f>
        <v>Сертификат активации сервиса прямой технической поддержки уровня "Стандартный" на 5 лет для: «Центр управления и мониторинга Diamond NCC - 5115. Версия VPN»</v>
      </c>
      <c r="C30" s="102" t="s">
        <v>904</v>
      </c>
      <c r="D30" s="133">
        <f>ROUNDUP(D28*0.95*5,0)</f>
        <v>538584</v>
      </c>
      <c r="E30" s="133">
        <f>ROUNDUP(E28*0.95*5,0)</f>
        <v>488500</v>
      </c>
      <c r="F30" s="32">
        <v>0.2</v>
      </c>
      <c r="G30" s="14"/>
    </row>
    <row r="31" spans="1:7" ht="49.5" customHeight="1" x14ac:dyDescent="0.25">
      <c r="A31" s="462" t="s">
        <v>60</v>
      </c>
      <c r="B31" s="342" t="s">
        <v>1689</v>
      </c>
      <c r="C31" s="343"/>
      <c r="D31" s="387"/>
      <c r="E31" s="388"/>
      <c r="F31" s="389"/>
      <c r="G31" s="390" t="s">
        <v>1514</v>
      </c>
    </row>
    <row r="32" spans="1:7" ht="30" customHeight="1" x14ac:dyDescent="0.25">
      <c r="A32" s="463"/>
      <c r="B32" s="68" t="s">
        <v>1506</v>
      </c>
      <c r="C32" s="67" t="s">
        <v>1655</v>
      </c>
      <c r="D32" s="129">
        <f>D18</f>
        <v>421344</v>
      </c>
      <c r="E32" s="131">
        <f>ROUNDUP(D32*0.95,0)</f>
        <v>400277</v>
      </c>
      <c r="F32" s="45">
        <v>0.2</v>
      </c>
      <c r="G32" s="47"/>
    </row>
    <row r="33" spans="1:7" ht="30" customHeight="1" x14ac:dyDescent="0.25">
      <c r="A33" s="464"/>
      <c r="B33" s="68" t="s">
        <v>1509</v>
      </c>
      <c r="C33" s="67" t="s">
        <v>1657</v>
      </c>
      <c r="D33" s="129">
        <f>ROUNDUP(D19*0.4,0)</f>
        <v>243716</v>
      </c>
      <c r="E33" s="131">
        <f>ROUNDUP(D33*0.85,0)</f>
        <v>207159</v>
      </c>
      <c r="F33" s="45">
        <v>0.2</v>
      </c>
      <c r="G33" s="47"/>
    </row>
    <row r="34" spans="1:7" ht="40.5" customHeight="1" x14ac:dyDescent="0.25">
      <c r="A34" s="391" t="s">
        <v>61</v>
      </c>
      <c r="B34" s="106" t="s">
        <v>1727</v>
      </c>
      <c r="C34" s="20" t="s">
        <v>1661</v>
      </c>
      <c r="D34" s="132">
        <f>ROUNDUP(D32+(D33*1.2),0)</f>
        <v>713804</v>
      </c>
      <c r="E34" s="132">
        <f>ROUNDUP(E32+(E33*1.2),0)</f>
        <v>648868</v>
      </c>
      <c r="F34" s="24">
        <v>0.2</v>
      </c>
      <c r="G34" s="23" t="s">
        <v>1510</v>
      </c>
    </row>
    <row r="35" spans="1:7" ht="30" customHeight="1" x14ac:dyDescent="0.25">
      <c r="A35" s="392" t="s">
        <v>62</v>
      </c>
      <c r="B35" s="31" t="str">
        <f>CONCATENATE(H1,H10)</f>
        <v>Сертификат активации сервиса прямой технической поддержки уровня "Стандартный" на 1 год для: «Центр управления и мониторинга Diamond NCC - 5215. Версия VPN»</v>
      </c>
      <c r="C35" s="202" t="s">
        <v>1667</v>
      </c>
      <c r="D35" s="203">
        <f>ROUNDUP((D32+D33)*0.2,0)</f>
        <v>133012</v>
      </c>
      <c r="E35" s="203">
        <f>ROUNDUP((E32+E33)*0.2,0)</f>
        <v>121488</v>
      </c>
      <c r="F35" s="190">
        <v>0.2</v>
      </c>
      <c r="G35" s="4"/>
    </row>
    <row r="36" spans="1:7" ht="30" customHeight="1" x14ac:dyDescent="0.25">
      <c r="A36" s="391" t="s">
        <v>503</v>
      </c>
      <c r="B36" s="22" t="str">
        <f>CONCATENATE(H3,H10)</f>
        <v>Сертификат активации сервиса прямой технической поддержки уровня "Стандартный" на 3 года для: «Центр управления и мониторинга Diamond NCC - 5215. Версия VPN»</v>
      </c>
      <c r="C36" s="20" t="s">
        <v>1668</v>
      </c>
      <c r="D36" s="132">
        <f>ROUNDUP(D35*0.97*3,0)</f>
        <v>387065</v>
      </c>
      <c r="E36" s="132">
        <f>ROUNDUP(E35*0.97*3,0)</f>
        <v>353531</v>
      </c>
      <c r="F36" s="190">
        <v>0.2</v>
      </c>
      <c r="G36" s="23"/>
    </row>
    <row r="37" spans="1:7" ht="30" customHeight="1" thickBot="1" x14ac:dyDescent="0.3">
      <c r="A37" s="393" t="s">
        <v>504</v>
      </c>
      <c r="B37" s="166" t="str">
        <f>CONCATENATE(H4,H10)</f>
        <v>Сертификат активации сервиса прямой технической поддержки уровня "Стандартный" на 5 лет для: «Центр управления и мониторинга Diamond NCC - 5215. Версия VPN»</v>
      </c>
      <c r="C37" s="102" t="s">
        <v>1669</v>
      </c>
      <c r="D37" s="133">
        <f>ROUNDUP(D35*0.95*5,0)</f>
        <v>631807</v>
      </c>
      <c r="E37" s="133">
        <f>ROUNDUP(E35*0.95*5,0)</f>
        <v>577068</v>
      </c>
      <c r="F37" s="32">
        <v>0.2</v>
      </c>
      <c r="G37" s="14"/>
    </row>
    <row r="38" spans="1:7" ht="56.25" customHeight="1" x14ac:dyDescent="0.25">
      <c r="A38" s="447" t="s">
        <v>63</v>
      </c>
      <c r="B38" s="342" t="s">
        <v>1728</v>
      </c>
      <c r="C38" s="343"/>
      <c r="D38" s="344"/>
      <c r="E38" s="345"/>
      <c r="F38" s="346"/>
      <c r="G38" s="53" t="s">
        <v>1504</v>
      </c>
    </row>
    <row r="39" spans="1:7" ht="30" customHeight="1" x14ac:dyDescent="0.25">
      <c r="A39" s="447"/>
      <c r="B39" s="68" t="s">
        <v>1029</v>
      </c>
      <c r="C39" s="67" t="s">
        <v>275</v>
      </c>
      <c r="D39" s="129">
        <f>D11</f>
        <v>323211</v>
      </c>
      <c r="E39" s="131">
        <f>ROUNDUP(D39*0.95,0)</f>
        <v>307051</v>
      </c>
      <c r="F39" s="45">
        <v>0.2</v>
      </c>
      <c r="G39" s="47"/>
    </row>
    <row r="40" spans="1:7" ht="30" customHeight="1" x14ac:dyDescent="0.25">
      <c r="A40" s="448"/>
      <c r="B40" s="68" t="s">
        <v>1033</v>
      </c>
      <c r="C40" s="67" t="s">
        <v>905</v>
      </c>
      <c r="D40" s="129">
        <f>ROUNDUP(D12*0.4,0)</f>
        <v>243716</v>
      </c>
      <c r="E40" s="131">
        <f>ROUNDUP(D40*0.85,0)</f>
        <v>207159</v>
      </c>
      <c r="F40" s="45">
        <v>0.2</v>
      </c>
      <c r="G40" s="47"/>
    </row>
    <row r="41" spans="1:7" ht="40.5" customHeight="1" x14ac:dyDescent="0.25">
      <c r="A41" s="353" t="s">
        <v>64</v>
      </c>
      <c r="B41" s="106" t="s">
        <v>1729</v>
      </c>
      <c r="C41" s="20" t="s">
        <v>906</v>
      </c>
      <c r="D41" s="132">
        <f>ROUNDUP(D39+(D40*1.2),0)</f>
        <v>615671</v>
      </c>
      <c r="E41" s="132">
        <f>ROUNDUP(E39+(E40*1.2),0)</f>
        <v>555642</v>
      </c>
      <c r="F41" s="24">
        <v>0.2</v>
      </c>
      <c r="G41" s="23" t="s">
        <v>1042</v>
      </c>
    </row>
    <row r="42" spans="1:7" ht="30" customHeight="1" x14ac:dyDescent="0.25">
      <c r="A42" s="352" t="s">
        <v>65</v>
      </c>
      <c r="B42" s="31" t="str">
        <f>CONCATENATE(H1,H7)</f>
        <v>Сертификат активации сервиса прямой технической поддержки уровня "Стандартный" на 1 год для: «Центр управления и мониторинга Diamond NCC - 5115. Версия FW»</v>
      </c>
      <c r="C42" s="202" t="s">
        <v>907</v>
      </c>
      <c r="D42" s="203">
        <f>ROUNDUP((D39+D40)*0.2,0)</f>
        <v>113386</v>
      </c>
      <c r="E42" s="203">
        <f>ROUNDUP((E39+E40)*0.2,0)</f>
        <v>102842</v>
      </c>
      <c r="F42" s="190">
        <v>0.2</v>
      </c>
      <c r="G42" s="4"/>
    </row>
    <row r="43" spans="1:7" ht="30" customHeight="1" x14ac:dyDescent="0.25">
      <c r="A43" s="353" t="s">
        <v>505</v>
      </c>
      <c r="B43" s="22" t="str">
        <f>CONCATENATE(H3,H7)</f>
        <v>Сертификат активации сервиса прямой технической поддержки уровня "Стандартный" на 3 года для: «Центр управления и мониторинга Diamond NCC - 5115. Версия FW»</v>
      </c>
      <c r="C43" s="20" t="s">
        <v>908</v>
      </c>
      <c r="D43" s="132">
        <f>ROUNDUP(D42*0.97*3,0)</f>
        <v>329954</v>
      </c>
      <c r="E43" s="132">
        <f>ROUNDUP(E42*0.97*3,0)</f>
        <v>299271</v>
      </c>
      <c r="F43" s="190">
        <v>0.2</v>
      </c>
      <c r="G43" s="23"/>
    </row>
    <row r="44" spans="1:7" ht="30" customHeight="1" thickBot="1" x14ac:dyDescent="0.3">
      <c r="A44" s="219" t="s">
        <v>506</v>
      </c>
      <c r="B44" s="166" t="str">
        <f>CONCATENATE(H4,H7)</f>
        <v>Сертификат активации сервиса прямой технической поддержки уровня "Стандартный" на 5 лет для: «Центр управления и мониторинга Diamond NCC - 5115. Версия FW»</v>
      </c>
      <c r="C44" s="102" t="s">
        <v>909</v>
      </c>
      <c r="D44" s="133">
        <f>ROUNDUP(D42*0.95*5,0)</f>
        <v>538584</v>
      </c>
      <c r="E44" s="133">
        <f>ROUNDUP(E42*0.95*5,0)</f>
        <v>488500</v>
      </c>
      <c r="F44" s="32">
        <v>0.2</v>
      </c>
      <c r="G44" s="14"/>
    </row>
    <row r="45" spans="1:7" ht="56.25" customHeight="1" x14ac:dyDescent="0.25">
      <c r="A45" s="446" t="s">
        <v>66</v>
      </c>
      <c r="B45" s="342" t="s">
        <v>1730</v>
      </c>
      <c r="C45" s="343"/>
      <c r="D45" s="344"/>
      <c r="E45" s="345"/>
      <c r="F45" s="346"/>
      <c r="G45" s="53" t="s">
        <v>1516</v>
      </c>
    </row>
    <row r="46" spans="1:7" ht="30" customHeight="1" x14ac:dyDescent="0.25">
      <c r="A46" s="447"/>
      <c r="B46" s="68" t="s">
        <v>1506</v>
      </c>
      <c r="C46" s="67" t="s">
        <v>1655</v>
      </c>
      <c r="D46" s="129">
        <f>D18</f>
        <v>421344</v>
      </c>
      <c r="E46" s="131">
        <f>ROUNDUP(D46*0.95,0)</f>
        <v>400277</v>
      </c>
      <c r="F46" s="45">
        <v>0.2</v>
      </c>
      <c r="G46" s="47"/>
    </row>
    <row r="47" spans="1:7" ht="30" customHeight="1" x14ac:dyDescent="0.25">
      <c r="A47" s="448"/>
      <c r="B47" s="68" t="s">
        <v>1515</v>
      </c>
      <c r="C47" s="67" t="s">
        <v>1658</v>
      </c>
      <c r="D47" s="129">
        <f>ROUNDUP(D19*0.4,0)</f>
        <v>243716</v>
      </c>
      <c r="E47" s="131">
        <f>ROUNDUP(D47*0.85,0)</f>
        <v>207159</v>
      </c>
      <c r="F47" s="45">
        <v>0.2</v>
      </c>
      <c r="G47" s="47"/>
    </row>
    <row r="48" spans="1:7" ht="40.5" customHeight="1" x14ac:dyDescent="0.25">
      <c r="A48" s="353" t="s">
        <v>67</v>
      </c>
      <c r="B48" s="106" t="s">
        <v>1731</v>
      </c>
      <c r="C48" s="20" t="s">
        <v>1662</v>
      </c>
      <c r="D48" s="132">
        <f>ROUNDUP(D46+(D47*1.2),0)</f>
        <v>713804</v>
      </c>
      <c r="E48" s="132">
        <f>ROUNDUP(E46+(E47*1.2),0)</f>
        <v>648868</v>
      </c>
      <c r="F48" s="24">
        <v>0.2</v>
      </c>
      <c r="G48" s="23" t="s">
        <v>1517</v>
      </c>
    </row>
    <row r="49" spans="1:7" ht="30" customHeight="1" x14ac:dyDescent="0.25">
      <c r="A49" s="352" t="s">
        <v>68</v>
      </c>
      <c r="B49" s="31" t="str">
        <f>CONCATENATE(H1,H11)</f>
        <v>Сертификат активации сервиса прямой технической поддержки уровня "Стандартный" на 1 год для: «Центр управления и мониторинга Diamond NCC - 5215. Версия FW»</v>
      </c>
      <c r="C49" s="202" t="s">
        <v>1670</v>
      </c>
      <c r="D49" s="203">
        <f>ROUNDUP((D46+D47)*0.2,0)</f>
        <v>133012</v>
      </c>
      <c r="E49" s="203">
        <f>ROUNDUP((E46+E47)*0.2,0)</f>
        <v>121488</v>
      </c>
      <c r="F49" s="190">
        <v>0.2</v>
      </c>
      <c r="G49" s="4"/>
    </row>
    <row r="50" spans="1:7" ht="30" customHeight="1" x14ac:dyDescent="0.25">
      <c r="A50" s="353" t="s">
        <v>507</v>
      </c>
      <c r="B50" s="22" t="str">
        <f>CONCATENATE(H3,H11)</f>
        <v>Сертификат активации сервиса прямой технической поддержки уровня "Стандартный" на 3 года для: «Центр управления и мониторинга Diamond NCC - 5215. Версия FW»</v>
      </c>
      <c r="C50" s="20" t="s">
        <v>1671</v>
      </c>
      <c r="D50" s="132">
        <f>ROUNDUP(D49*0.97*3,0)</f>
        <v>387065</v>
      </c>
      <c r="E50" s="132">
        <f>ROUNDUP(E49*0.97*3,0)</f>
        <v>353531</v>
      </c>
      <c r="F50" s="190">
        <v>0.2</v>
      </c>
      <c r="G50" s="23"/>
    </row>
    <row r="51" spans="1:7" ht="30" customHeight="1" thickBot="1" x14ac:dyDescent="0.3">
      <c r="A51" s="219" t="s">
        <v>508</v>
      </c>
      <c r="B51" s="166" t="str">
        <f>CONCATENATE(H4,H11)</f>
        <v>Сертификат активации сервиса прямой технической поддержки уровня "Стандартный" на 5 лет для: «Центр управления и мониторинга Diamond NCC - 5215. Версия FW»</v>
      </c>
      <c r="C51" s="102" t="s">
        <v>1672</v>
      </c>
      <c r="D51" s="133">
        <f>ROUNDUP(D49*0.95*5,0)</f>
        <v>631807</v>
      </c>
      <c r="E51" s="133">
        <f>ROUNDUP(E49*0.95*5,0)</f>
        <v>577068</v>
      </c>
      <c r="F51" s="32">
        <v>0.2</v>
      </c>
      <c r="G51" s="14"/>
    </row>
    <row r="52" spans="1:7" ht="49.5" customHeight="1" x14ac:dyDescent="0.25">
      <c r="A52" s="462" t="s">
        <v>69</v>
      </c>
      <c r="B52" s="385" t="s">
        <v>1690</v>
      </c>
      <c r="C52" s="386"/>
      <c r="D52" s="387"/>
      <c r="E52" s="388"/>
      <c r="F52" s="389"/>
      <c r="G52" s="390" t="s">
        <v>1505</v>
      </c>
    </row>
    <row r="53" spans="1:7" ht="30" customHeight="1" x14ac:dyDescent="0.25">
      <c r="A53" s="463"/>
      <c r="B53" s="68" t="s">
        <v>1029</v>
      </c>
      <c r="C53" s="67" t="s">
        <v>275</v>
      </c>
      <c r="D53" s="129">
        <f>D11</f>
        <v>323211</v>
      </c>
      <c r="E53" s="131">
        <f>ROUNDUP(D53*0.95,0)</f>
        <v>307051</v>
      </c>
      <c r="F53" s="45">
        <v>0.2</v>
      </c>
      <c r="G53" s="47"/>
    </row>
    <row r="54" spans="1:7" ht="30" customHeight="1" x14ac:dyDescent="0.25">
      <c r="A54" s="464"/>
      <c r="B54" s="68" t="s">
        <v>1034</v>
      </c>
      <c r="C54" s="67" t="s">
        <v>910</v>
      </c>
      <c r="D54" s="129">
        <f>ROUNDUP(D12*0.4,0)</f>
        <v>243716</v>
      </c>
      <c r="E54" s="131">
        <f>ROUNDUP(D54*0.85,0)</f>
        <v>207159</v>
      </c>
      <c r="F54" s="45">
        <v>0.2</v>
      </c>
      <c r="G54" s="47"/>
    </row>
    <row r="55" spans="1:7" ht="40.5" customHeight="1" x14ac:dyDescent="0.25">
      <c r="A55" s="391" t="s">
        <v>70</v>
      </c>
      <c r="B55" s="106" t="s">
        <v>1732</v>
      </c>
      <c r="C55" s="20" t="s">
        <v>911</v>
      </c>
      <c r="D55" s="132">
        <f>ROUNDUP(D53+(D54*1.2),0)</f>
        <v>615671</v>
      </c>
      <c r="E55" s="132">
        <f>ROUNDUP(E53+(E54*1.2),0)</f>
        <v>555642</v>
      </c>
      <c r="F55" s="24">
        <v>0.2</v>
      </c>
      <c r="G55" s="23" t="s">
        <v>1035</v>
      </c>
    </row>
    <row r="56" spans="1:7" ht="30" customHeight="1" x14ac:dyDescent="0.25">
      <c r="A56" s="392" t="s">
        <v>71</v>
      </c>
      <c r="B56" s="31" t="str">
        <f>CONCATENATE(H1,H8)</f>
        <v>Сертификат активации сервиса прямой технической поддержки уровня "Стандартный" на 1 год для: «Центр управления и мониторинга Diamond NCC - 5115. Версия IDS»</v>
      </c>
      <c r="C56" s="202" t="s">
        <v>912</v>
      </c>
      <c r="D56" s="347">
        <f>ROUNDUP((D53+D54)*0.2,0)</f>
        <v>113386</v>
      </c>
      <c r="E56" s="347">
        <f>ROUNDUP((E53+E54)*0.2,0)</f>
        <v>102842</v>
      </c>
      <c r="F56" s="190">
        <v>0.2</v>
      </c>
      <c r="G56" s="348"/>
    </row>
    <row r="57" spans="1:7" ht="30" customHeight="1" x14ac:dyDescent="0.25">
      <c r="A57" s="391" t="s">
        <v>509</v>
      </c>
      <c r="B57" s="22" t="str">
        <f>CONCATENATE(H3,H8)</f>
        <v>Сертификат активации сервиса прямой технической поддержки уровня "Стандартный" на 3 года для: «Центр управления и мониторинга Diamond NCC - 5115. Версия IDS»</v>
      </c>
      <c r="C57" s="20" t="s">
        <v>913</v>
      </c>
      <c r="D57" s="132">
        <f>ROUNDUP(D56*0.97*3,0)</f>
        <v>329954</v>
      </c>
      <c r="E57" s="132">
        <f>ROUNDUP(E56*0.97*3,0)</f>
        <v>299271</v>
      </c>
      <c r="F57" s="190">
        <v>0.2</v>
      </c>
      <c r="G57" s="23"/>
    </row>
    <row r="58" spans="1:7" ht="30" customHeight="1" thickBot="1" x14ac:dyDescent="0.3">
      <c r="A58" s="393" t="s">
        <v>510</v>
      </c>
      <c r="B58" s="166" t="str">
        <f>CONCATENATE(H4,H8)</f>
        <v>Сертификат активации сервиса прямой технической поддержки уровня "Стандартный" на 5 лет для: «Центр управления и мониторинга Diamond NCC - 5115. Версия IDS»</v>
      </c>
      <c r="C58" s="102" t="s">
        <v>914</v>
      </c>
      <c r="D58" s="133">
        <f>ROUNDUP(D56*0.95*5,0)</f>
        <v>538584</v>
      </c>
      <c r="E58" s="133">
        <f>ROUNDUP(E56*0.95*5,0)</f>
        <v>488500</v>
      </c>
      <c r="F58" s="32">
        <v>0.2</v>
      </c>
      <c r="G58" s="14"/>
    </row>
    <row r="59" spans="1:7" ht="49.5" customHeight="1" x14ac:dyDescent="0.25">
      <c r="A59" s="462" t="s">
        <v>72</v>
      </c>
      <c r="B59" s="385" t="s">
        <v>1691</v>
      </c>
      <c r="C59" s="386"/>
      <c r="D59" s="387"/>
      <c r="E59" s="388"/>
      <c r="F59" s="389"/>
      <c r="G59" s="390" t="s">
        <v>1520</v>
      </c>
    </row>
    <row r="60" spans="1:7" ht="30" customHeight="1" x14ac:dyDescent="0.25">
      <c r="A60" s="463"/>
      <c r="B60" s="68" t="s">
        <v>1506</v>
      </c>
      <c r="C60" s="67" t="s">
        <v>1655</v>
      </c>
      <c r="D60" s="129">
        <f>D18</f>
        <v>421344</v>
      </c>
      <c r="E60" s="131">
        <f>ROUNDUP(D60*0.95,0)</f>
        <v>400277</v>
      </c>
      <c r="F60" s="45">
        <v>0.2</v>
      </c>
      <c r="G60" s="47"/>
    </row>
    <row r="61" spans="1:7" ht="30" customHeight="1" x14ac:dyDescent="0.25">
      <c r="A61" s="464"/>
      <c r="B61" s="68" t="s">
        <v>1518</v>
      </c>
      <c r="C61" s="67" t="s">
        <v>1659</v>
      </c>
      <c r="D61" s="129">
        <f>ROUNDUP(D19*0.4,0)</f>
        <v>243716</v>
      </c>
      <c r="E61" s="131">
        <f>ROUNDUP(D61*0.85,0)</f>
        <v>207159</v>
      </c>
      <c r="F61" s="45">
        <v>0.2</v>
      </c>
      <c r="G61" s="47"/>
    </row>
    <row r="62" spans="1:7" ht="40.5" customHeight="1" x14ac:dyDescent="0.25">
      <c r="A62" s="391" t="s">
        <v>73</v>
      </c>
      <c r="B62" s="106" t="s">
        <v>1733</v>
      </c>
      <c r="C62" s="20" t="s">
        <v>1663</v>
      </c>
      <c r="D62" s="132">
        <f>ROUNDUP(D60+(D61*1.2),0)</f>
        <v>713804</v>
      </c>
      <c r="E62" s="132">
        <f>ROUNDUP(E60+(E61*1.2),0)</f>
        <v>648868</v>
      </c>
      <c r="F62" s="24">
        <v>0.2</v>
      </c>
      <c r="G62" s="23" t="s">
        <v>1519</v>
      </c>
    </row>
    <row r="63" spans="1:7" ht="30" customHeight="1" x14ac:dyDescent="0.25">
      <c r="A63" s="392" t="s">
        <v>74</v>
      </c>
      <c r="B63" s="31" t="str">
        <f>CONCATENATE(H1,H12)</f>
        <v>Сертификат активации сервиса прямой технической поддержки уровня "Стандартный" на 1 год для: «Центр управления и мониторинга Diamond NCC - 5215. Версия IDS»</v>
      </c>
      <c r="C63" s="202" t="s">
        <v>1673</v>
      </c>
      <c r="D63" s="347">
        <f>ROUNDUP((D60+D61)*0.2,0)</f>
        <v>133012</v>
      </c>
      <c r="E63" s="347">
        <f>ROUNDUP((E60+E61)*0.2,0)</f>
        <v>121488</v>
      </c>
      <c r="F63" s="190">
        <v>0.2</v>
      </c>
      <c r="G63" s="348"/>
    </row>
    <row r="64" spans="1:7" ht="30" customHeight="1" x14ac:dyDescent="0.25">
      <c r="A64" s="391" t="s">
        <v>511</v>
      </c>
      <c r="B64" s="22" t="str">
        <f>CONCATENATE(H3,H12)</f>
        <v>Сертификат активации сервиса прямой технической поддержки уровня "Стандартный" на 3 года для: «Центр управления и мониторинга Diamond NCC - 5215. Версия IDS»</v>
      </c>
      <c r="C64" s="20" t="s">
        <v>1674</v>
      </c>
      <c r="D64" s="132">
        <f>ROUNDUP(D63*0.97*3,0)</f>
        <v>387065</v>
      </c>
      <c r="E64" s="132">
        <f>ROUNDUP(E63*0.97*3,0)</f>
        <v>353531</v>
      </c>
      <c r="F64" s="190">
        <v>0.2</v>
      </c>
      <c r="G64" s="23"/>
    </row>
    <row r="65" spans="1:7" ht="30" customHeight="1" thickBot="1" x14ac:dyDescent="0.3">
      <c r="A65" s="406" t="s">
        <v>512</v>
      </c>
      <c r="B65" s="31" t="str">
        <f>CONCATENATE(H4,H12)</f>
        <v>Сертификат активации сервиса прямой технической поддержки уровня "Стандартный" на 5 лет для: «Центр управления и мониторинга Diamond NCC - 5215. Версия IDS»</v>
      </c>
      <c r="C65" s="102" t="s">
        <v>1675</v>
      </c>
      <c r="D65" s="203">
        <f>ROUNDUP(D63*0.95*5,0)</f>
        <v>631807</v>
      </c>
      <c r="E65" s="203">
        <f>ROUNDUP(E63*0.95*5,0)</f>
        <v>577068</v>
      </c>
      <c r="F65" s="190">
        <v>0.2</v>
      </c>
      <c r="G65" s="4"/>
    </row>
    <row r="66" spans="1:7" ht="60" customHeight="1" thickBot="1" x14ac:dyDescent="0.3">
      <c r="A66" s="407"/>
      <c r="B66" s="15" t="s">
        <v>33</v>
      </c>
      <c r="C66" s="16"/>
      <c r="D66" s="113"/>
      <c r="E66" s="408"/>
      <c r="F66" s="310"/>
      <c r="G66" s="409"/>
    </row>
    <row r="67" spans="1:7" ht="30" customHeight="1" thickBot="1" x14ac:dyDescent="0.3">
      <c r="A67" s="354" t="s">
        <v>916</v>
      </c>
      <c r="B67" s="11" t="s">
        <v>1037</v>
      </c>
      <c r="C67" s="21" t="s">
        <v>183</v>
      </c>
      <c r="D67" s="267">
        <v>500</v>
      </c>
      <c r="E67" s="403">
        <f>D67*0.85</f>
        <v>425</v>
      </c>
      <c r="F67" s="24">
        <v>0.2</v>
      </c>
      <c r="G67" s="23" t="s">
        <v>34</v>
      </c>
    </row>
    <row r="68" spans="1:7" ht="72.95" customHeight="1" thickBot="1" x14ac:dyDescent="0.3">
      <c r="A68" s="394"/>
      <c r="B68" s="15" t="s">
        <v>829</v>
      </c>
      <c r="C68" s="16"/>
      <c r="D68" s="17"/>
      <c r="E68" s="17"/>
      <c r="F68" s="17"/>
      <c r="G68" s="18" t="s">
        <v>1046</v>
      </c>
    </row>
    <row r="69" spans="1:7" ht="82.5" customHeight="1" x14ac:dyDescent="0.25">
      <c r="A69" s="353" t="s">
        <v>917</v>
      </c>
      <c r="B69" s="291" t="s">
        <v>1758</v>
      </c>
      <c r="C69" s="174" t="s">
        <v>888</v>
      </c>
      <c r="D69" s="83">
        <v>0.2</v>
      </c>
      <c r="E69" s="83">
        <v>0.2</v>
      </c>
      <c r="F69" s="110">
        <v>0.2</v>
      </c>
      <c r="G69" s="105" t="s">
        <v>1048</v>
      </c>
    </row>
    <row r="70" spans="1:7" ht="105" customHeight="1" x14ac:dyDescent="0.25">
      <c r="A70" s="352" t="s">
        <v>918</v>
      </c>
      <c r="B70" s="213" t="s">
        <v>1759</v>
      </c>
      <c r="C70" s="174" t="s">
        <v>889</v>
      </c>
      <c r="D70" s="83">
        <v>0.2</v>
      </c>
      <c r="E70" s="83">
        <v>0.2</v>
      </c>
      <c r="F70" s="110">
        <v>0.2</v>
      </c>
      <c r="G70" s="6" t="s">
        <v>1313</v>
      </c>
    </row>
    <row r="71" spans="1:7" ht="83.1" customHeight="1" thickBot="1" x14ac:dyDescent="0.3">
      <c r="A71" s="353" t="s">
        <v>919</v>
      </c>
      <c r="B71" s="290" t="s">
        <v>1760</v>
      </c>
      <c r="C71" s="174" t="s">
        <v>890</v>
      </c>
      <c r="D71" s="83">
        <v>0.2</v>
      </c>
      <c r="E71" s="83">
        <v>0.2</v>
      </c>
      <c r="F71" s="110">
        <v>0.2</v>
      </c>
      <c r="G71" s="318" t="s">
        <v>1314</v>
      </c>
    </row>
    <row r="72" spans="1:7" ht="83.1" customHeight="1" x14ac:dyDescent="0.25">
      <c r="A72" s="352" t="s">
        <v>920</v>
      </c>
      <c r="B72" s="169" t="s">
        <v>1761</v>
      </c>
      <c r="C72" s="174" t="s">
        <v>891</v>
      </c>
      <c r="D72" s="13">
        <v>0.3</v>
      </c>
      <c r="E72" s="13">
        <v>0.3</v>
      </c>
      <c r="F72" s="110">
        <v>0.2</v>
      </c>
      <c r="G72" s="6" t="s">
        <v>1039</v>
      </c>
    </row>
    <row r="73" spans="1:7" ht="83.1" customHeight="1" x14ac:dyDescent="0.25">
      <c r="A73" s="353" t="s">
        <v>921</v>
      </c>
      <c r="B73" s="169" t="s">
        <v>1762</v>
      </c>
      <c r="C73" s="174" t="s">
        <v>892</v>
      </c>
      <c r="D73" s="13">
        <v>0.3</v>
      </c>
      <c r="E73" s="13">
        <v>0.3</v>
      </c>
      <c r="F73" s="110">
        <v>0.2</v>
      </c>
      <c r="G73" s="6" t="s">
        <v>1320</v>
      </c>
    </row>
    <row r="74" spans="1:7" ht="83.1" customHeight="1" x14ac:dyDescent="0.25">
      <c r="A74" s="352" t="s">
        <v>922</v>
      </c>
      <c r="B74" s="169" t="s">
        <v>1763</v>
      </c>
      <c r="C74" s="174" t="s">
        <v>893</v>
      </c>
      <c r="D74" s="13">
        <v>0.3</v>
      </c>
      <c r="E74" s="13">
        <v>0.3</v>
      </c>
      <c r="F74" s="110">
        <v>0.2</v>
      </c>
      <c r="G74" s="6" t="s">
        <v>1041</v>
      </c>
    </row>
    <row r="75" spans="1:7" ht="120" customHeight="1" x14ac:dyDescent="0.25">
      <c r="A75" s="353" t="s">
        <v>923</v>
      </c>
      <c r="B75" s="170" t="s">
        <v>1764</v>
      </c>
      <c r="C75" s="175" t="s">
        <v>894</v>
      </c>
      <c r="D75" s="147">
        <v>0.35</v>
      </c>
      <c r="E75" s="147">
        <v>0.35</v>
      </c>
      <c r="F75" s="110">
        <v>0.2</v>
      </c>
      <c r="G75" s="6" t="s">
        <v>1043</v>
      </c>
    </row>
    <row r="76" spans="1:7" ht="120" customHeight="1" x14ac:dyDescent="0.25">
      <c r="A76" s="352" t="s">
        <v>1521</v>
      </c>
      <c r="B76" s="170" t="s">
        <v>1765</v>
      </c>
      <c r="C76" s="175" t="s">
        <v>895</v>
      </c>
      <c r="D76" s="147">
        <v>0.35</v>
      </c>
      <c r="E76" s="147">
        <v>0.35</v>
      </c>
      <c r="F76" s="110">
        <v>0.2</v>
      </c>
      <c r="G76" s="6" t="s">
        <v>1044</v>
      </c>
    </row>
    <row r="77" spans="1:7" ht="120" customHeight="1" x14ac:dyDescent="0.25">
      <c r="A77" s="353" t="s">
        <v>1522</v>
      </c>
      <c r="B77" s="170" t="s">
        <v>1766</v>
      </c>
      <c r="C77" s="175" t="s">
        <v>896</v>
      </c>
      <c r="D77" s="147">
        <v>0.35</v>
      </c>
      <c r="E77" s="147">
        <v>0.35</v>
      </c>
      <c r="F77" s="110">
        <v>0.2</v>
      </c>
      <c r="G77" s="6" t="s">
        <v>1045</v>
      </c>
    </row>
    <row r="78" spans="1:7" ht="25.5" customHeight="1" x14ac:dyDescent="0.25">
      <c r="A78" s="352" t="s">
        <v>1523</v>
      </c>
      <c r="B78" s="149" t="s">
        <v>1767</v>
      </c>
      <c r="C78" s="174" t="s">
        <v>897</v>
      </c>
      <c r="D78" s="110">
        <v>0.15</v>
      </c>
      <c r="E78" s="110">
        <v>0.15</v>
      </c>
      <c r="F78" s="110">
        <v>0.2</v>
      </c>
      <c r="G78" s="6" t="s">
        <v>1047</v>
      </c>
    </row>
    <row r="79" spans="1:7" ht="25.5" customHeight="1" thickBot="1" x14ac:dyDescent="0.3">
      <c r="A79" s="353" t="s">
        <v>1524</v>
      </c>
      <c r="B79" s="150" t="s">
        <v>1768</v>
      </c>
      <c r="C79" s="176" t="s">
        <v>898</v>
      </c>
      <c r="D79" s="111">
        <v>0.25</v>
      </c>
      <c r="E79" s="111">
        <v>0.25</v>
      </c>
      <c r="F79" s="111">
        <v>0.2</v>
      </c>
      <c r="G79" s="14" t="s">
        <v>1047</v>
      </c>
    </row>
    <row r="80" spans="1:7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</sheetData>
  <mergeCells count="12">
    <mergeCell ref="G1:G7"/>
    <mergeCell ref="A7:F7"/>
    <mergeCell ref="A10:A12"/>
    <mergeCell ref="B9:G9"/>
    <mergeCell ref="A17:A19"/>
    <mergeCell ref="A59:A61"/>
    <mergeCell ref="A38:A40"/>
    <mergeCell ref="A52:A54"/>
    <mergeCell ref="A24:A26"/>
    <mergeCell ref="A1:F6"/>
    <mergeCell ref="A31:A33"/>
    <mergeCell ref="A45:A4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Q209"/>
  <sheetViews>
    <sheetView showGridLines="0" showRowColHeaders="0" tabSelected="1" zoomScaleNormal="100" workbookViewId="0">
      <pane ySplit="8" topLeftCell="A192" activePane="bottomLeft" state="frozen"/>
      <selection pane="bottomLeft" activeCell="B196" sqref="B196"/>
    </sheetView>
  </sheetViews>
  <sheetFormatPr defaultRowHeight="15" x14ac:dyDescent="0.25"/>
  <cols>
    <col min="1" max="1" width="5" customWidth="1"/>
    <col min="2" max="2" width="102.42578125" customWidth="1"/>
    <col min="3" max="3" width="12.140625" customWidth="1"/>
    <col min="4" max="5" width="15.7109375" customWidth="1"/>
    <col min="6" max="6" width="11.42578125" customWidth="1"/>
    <col min="7" max="7" width="79.7109375" customWidth="1"/>
    <col min="8" max="8" width="16.140625" customWidth="1"/>
    <col min="9" max="9" width="14.28515625" customWidth="1"/>
    <col min="10" max="10" width="57.5703125" customWidth="1"/>
  </cols>
  <sheetData>
    <row r="1" spans="1:17" ht="15" customHeight="1" x14ac:dyDescent="0.25">
      <c r="A1" s="474" t="s">
        <v>1684</v>
      </c>
      <c r="B1" s="474"/>
      <c r="C1" s="474"/>
      <c r="D1" s="474"/>
      <c r="E1" s="474"/>
      <c r="F1" s="475"/>
      <c r="G1" s="449" t="s">
        <v>40</v>
      </c>
      <c r="H1" s="272" t="s">
        <v>993</v>
      </c>
      <c r="I1" s="272" t="s">
        <v>993</v>
      </c>
      <c r="J1" s="382" t="s">
        <v>998</v>
      </c>
      <c r="K1" s="379" t="s">
        <v>996</v>
      </c>
      <c r="L1" s="379"/>
      <c r="M1" s="379"/>
      <c r="N1" s="379"/>
      <c r="O1" s="189"/>
      <c r="P1" s="189"/>
      <c r="Q1" s="189"/>
    </row>
    <row r="2" spans="1:17" x14ac:dyDescent="0.25">
      <c r="A2" s="474"/>
      <c r="B2" s="474"/>
      <c r="C2" s="474"/>
      <c r="D2" s="474"/>
      <c r="E2" s="474"/>
      <c r="F2" s="475"/>
      <c r="G2" s="449"/>
      <c r="H2" s="273" t="s">
        <v>995</v>
      </c>
      <c r="I2" s="273" t="s">
        <v>995</v>
      </c>
      <c r="J2" s="382" t="s">
        <v>999</v>
      </c>
      <c r="K2" s="379" t="s">
        <v>997</v>
      </c>
      <c r="L2" s="379"/>
      <c r="M2" s="379"/>
      <c r="N2" s="379"/>
      <c r="O2" s="189"/>
      <c r="P2" s="189"/>
      <c r="Q2" s="189"/>
    </row>
    <row r="3" spans="1:17" x14ac:dyDescent="0.25">
      <c r="A3" s="474"/>
      <c r="B3" s="474"/>
      <c r="C3" s="474"/>
      <c r="D3" s="474"/>
      <c r="E3" s="474"/>
      <c r="F3" s="475"/>
      <c r="G3" s="449"/>
      <c r="H3" s="273" t="s">
        <v>994</v>
      </c>
      <c r="I3" s="273" t="s">
        <v>994</v>
      </c>
      <c r="J3" s="382" t="s">
        <v>1000</v>
      </c>
      <c r="K3" s="379"/>
      <c r="L3" s="379"/>
      <c r="M3" s="379"/>
      <c r="N3" s="379"/>
      <c r="O3" s="189"/>
      <c r="P3" s="189"/>
      <c r="Q3" s="189"/>
    </row>
    <row r="4" spans="1:17" x14ac:dyDescent="0.25">
      <c r="A4" s="474"/>
      <c r="B4" s="474"/>
      <c r="C4" s="474"/>
      <c r="D4" s="474"/>
      <c r="E4" s="474"/>
      <c r="F4" s="475"/>
      <c r="G4" s="449"/>
      <c r="H4" s="189"/>
      <c r="I4" s="189"/>
      <c r="J4" s="382" t="s">
        <v>1001</v>
      </c>
      <c r="K4" s="379"/>
      <c r="L4" s="379"/>
      <c r="M4" s="379"/>
      <c r="N4" s="379"/>
      <c r="O4" s="189"/>
      <c r="P4" s="189"/>
      <c r="Q4" s="189"/>
    </row>
    <row r="5" spans="1:17" x14ac:dyDescent="0.25">
      <c r="A5" s="474"/>
      <c r="B5" s="474"/>
      <c r="C5" s="474"/>
      <c r="D5" s="474"/>
      <c r="E5" s="474"/>
      <c r="F5" s="475"/>
      <c r="G5" s="449"/>
      <c r="H5" s="189"/>
      <c r="I5" s="189"/>
      <c r="J5" s="382" t="s">
        <v>1002</v>
      </c>
      <c r="K5" s="379"/>
      <c r="L5" s="379"/>
      <c r="M5" s="379"/>
      <c r="N5" s="189"/>
      <c r="O5" s="189"/>
      <c r="P5" s="189"/>
      <c r="Q5" s="189"/>
    </row>
    <row r="6" spans="1:17" x14ac:dyDescent="0.25">
      <c r="A6" s="474"/>
      <c r="B6" s="474"/>
      <c r="C6" s="474"/>
      <c r="D6" s="474"/>
      <c r="E6" s="474"/>
      <c r="F6" s="475"/>
      <c r="G6" s="449"/>
      <c r="H6" s="189"/>
      <c r="I6" s="189"/>
      <c r="J6" s="382" t="s">
        <v>1003</v>
      </c>
      <c r="K6" s="379"/>
      <c r="L6" s="379"/>
      <c r="M6" s="379"/>
      <c r="N6" s="189"/>
      <c r="O6" s="189"/>
      <c r="P6" s="189"/>
      <c r="Q6" s="189"/>
    </row>
    <row r="7" spans="1:17" ht="15.75" thickBot="1" x14ac:dyDescent="0.3">
      <c r="A7" s="453" t="str">
        <f>'Diamond ACS'!A7:G7</f>
        <v>Срок действия: с 01.01.21</v>
      </c>
      <c r="B7" s="453"/>
      <c r="C7" s="453"/>
      <c r="D7" s="453"/>
      <c r="E7" s="453"/>
      <c r="F7" s="454"/>
      <c r="G7" s="450"/>
      <c r="H7" s="189"/>
      <c r="I7" s="189"/>
      <c r="J7" s="382" t="s">
        <v>1004</v>
      </c>
      <c r="K7" s="379"/>
      <c r="L7" s="379"/>
      <c r="M7" s="379"/>
      <c r="N7" s="189"/>
      <c r="O7" s="189"/>
      <c r="P7" s="189"/>
      <c r="Q7" s="189"/>
    </row>
    <row r="8" spans="1:17" ht="26.25" thickBot="1" x14ac:dyDescent="0.3">
      <c r="A8" s="74" t="s">
        <v>13</v>
      </c>
      <c r="B8" s="27" t="s">
        <v>0</v>
      </c>
      <c r="C8" s="28" t="s">
        <v>1</v>
      </c>
      <c r="D8" s="28" t="s">
        <v>765</v>
      </c>
      <c r="E8" s="28" t="s">
        <v>767</v>
      </c>
      <c r="F8" s="28" t="s">
        <v>3</v>
      </c>
      <c r="G8" s="30" t="s">
        <v>828</v>
      </c>
      <c r="H8" s="189"/>
      <c r="I8" s="189"/>
      <c r="J8" s="382" t="s">
        <v>1005</v>
      </c>
      <c r="K8" s="379"/>
      <c r="L8" s="379"/>
      <c r="M8" s="379"/>
      <c r="N8" s="189"/>
      <c r="O8" s="189"/>
      <c r="P8" s="189"/>
      <c r="Q8" s="189"/>
    </row>
    <row r="9" spans="1:17" ht="40.5" customHeight="1" thickBot="1" x14ac:dyDescent="0.3">
      <c r="A9" s="293"/>
      <c r="B9" s="476" t="s">
        <v>1503</v>
      </c>
      <c r="C9" s="477"/>
      <c r="D9" s="477"/>
      <c r="E9" s="477"/>
      <c r="F9" s="477"/>
      <c r="G9" s="478"/>
      <c r="H9" s="189"/>
      <c r="I9" s="189"/>
      <c r="J9" s="382" t="s">
        <v>1006</v>
      </c>
      <c r="K9" s="379"/>
      <c r="L9" s="379"/>
      <c r="M9" s="379"/>
      <c r="N9" s="189"/>
      <c r="O9" s="189"/>
      <c r="P9" s="189"/>
      <c r="Q9" s="189"/>
    </row>
    <row r="10" spans="1:17" ht="41.25" customHeight="1" thickTop="1" thickBot="1" x14ac:dyDescent="0.3">
      <c r="A10" s="72"/>
      <c r="B10" s="370" t="s">
        <v>1404</v>
      </c>
      <c r="C10" s="363"/>
      <c r="D10" s="361"/>
      <c r="E10" s="361"/>
      <c r="F10" s="361"/>
      <c r="G10" s="362"/>
      <c r="H10" s="189"/>
      <c r="I10" s="189"/>
      <c r="J10" s="382" t="s">
        <v>1007</v>
      </c>
      <c r="K10" s="379"/>
      <c r="L10" s="379"/>
      <c r="M10" s="379"/>
      <c r="N10" s="189"/>
      <c r="O10" s="189"/>
      <c r="P10" s="189"/>
      <c r="Q10" s="189"/>
    </row>
    <row r="11" spans="1:17" ht="29.25" customHeight="1" thickBot="1" x14ac:dyDescent="0.3">
      <c r="A11" s="329"/>
      <c r="B11" s="360" t="s">
        <v>469</v>
      </c>
      <c r="C11" s="357"/>
      <c r="D11" s="358"/>
      <c r="E11" s="358"/>
      <c r="F11" s="358"/>
      <c r="G11" s="359"/>
      <c r="H11" s="189"/>
      <c r="I11" s="189"/>
      <c r="J11" s="382" t="s">
        <v>1008</v>
      </c>
      <c r="K11" s="379"/>
      <c r="L11" s="379"/>
      <c r="M11" s="379"/>
      <c r="N11" s="189"/>
      <c r="O11" s="189"/>
      <c r="P11" s="189"/>
      <c r="Q11" s="189"/>
    </row>
    <row r="12" spans="1:17" ht="15.75" thickBot="1" x14ac:dyDescent="0.3">
      <c r="A12" s="226">
        <v>1</v>
      </c>
      <c r="B12" s="327" t="s">
        <v>964</v>
      </c>
      <c r="C12" s="328" t="s">
        <v>451</v>
      </c>
      <c r="D12" s="321">
        <f>12000*1.2</f>
        <v>14400</v>
      </c>
      <c r="E12" s="321">
        <f>ROUNDUP(D12*0.85,0)</f>
        <v>12240</v>
      </c>
      <c r="F12" s="52">
        <v>0.2</v>
      </c>
      <c r="G12" s="322" t="s">
        <v>472</v>
      </c>
      <c r="H12" s="189"/>
      <c r="I12" s="189"/>
      <c r="J12" s="382" t="s">
        <v>1009</v>
      </c>
      <c r="K12" s="379"/>
      <c r="L12" s="379"/>
      <c r="M12" s="379"/>
      <c r="N12" s="189"/>
      <c r="O12" s="189"/>
      <c r="P12" s="189"/>
      <c r="Q12" s="189"/>
    </row>
    <row r="13" spans="1:17" ht="25.5" customHeight="1" thickBot="1" x14ac:dyDescent="0.3">
      <c r="A13" s="215">
        <v>2</v>
      </c>
      <c r="B13" s="179" t="str">
        <f>CONCATENATE(I1,J1)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1»</v>
      </c>
      <c r="C13" s="198" t="s">
        <v>721</v>
      </c>
      <c r="D13" s="210">
        <f>ROUNDUP(D12*0.2,0)</f>
        <v>2880</v>
      </c>
      <c r="E13" s="210">
        <f>ROUNDUP(E12*0.2,0)</f>
        <v>2448</v>
      </c>
      <c r="F13" s="281" t="s">
        <v>450</v>
      </c>
      <c r="G13" s="199"/>
      <c r="H13" s="189"/>
      <c r="I13" s="189"/>
      <c r="J13" s="382" t="s">
        <v>1010</v>
      </c>
      <c r="K13" s="379"/>
      <c r="L13" s="379"/>
      <c r="M13" s="379"/>
      <c r="N13" s="189"/>
      <c r="O13" s="189"/>
      <c r="P13" s="189"/>
      <c r="Q13" s="189"/>
    </row>
    <row r="14" spans="1:17" ht="25.5" customHeight="1" thickBot="1" x14ac:dyDescent="0.3">
      <c r="A14" s="215">
        <v>3</v>
      </c>
      <c r="B14" s="179" t="str">
        <f>CONCATENATE(I2,J1)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1»</v>
      </c>
      <c r="C14" s="198" t="s">
        <v>722</v>
      </c>
      <c r="D14" s="210">
        <f>ROUNDUP(D13*0.97*3,0)</f>
        <v>8381</v>
      </c>
      <c r="E14" s="210">
        <f>ROUNDUP(E13*0.97*3,0)</f>
        <v>7124</v>
      </c>
      <c r="F14" s="281" t="s">
        <v>450</v>
      </c>
      <c r="G14" s="199"/>
      <c r="H14" s="189"/>
      <c r="I14" s="189"/>
      <c r="J14" s="382" t="s">
        <v>1011</v>
      </c>
      <c r="K14" s="379"/>
      <c r="L14" s="379"/>
      <c r="M14" s="379"/>
      <c r="N14" s="189"/>
      <c r="O14" s="189"/>
      <c r="P14" s="189"/>
      <c r="Q14" s="189"/>
    </row>
    <row r="15" spans="1:17" ht="26.25" thickBot="1" x14ac:dyDescent="0.3">
      <c r="A15" s="215">
        <v>4</v>
      </c>
      <c r="B15" s="179" t="str">
        <f>CONCATENATE(I3,J1)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1»</v>
      </c>
      <c r="C15" s="198" t="s">
        <v>723</v>
      </c>
      <c r="D15" s="210">
        <f>ROUNDUP(D13*0.95*5,0)</f>
        <v>13680</v>
      </c>
      <c r="E15" s="210">
        <f>ROUNDUP(E13*0.95*5,0)</f>
        <v>11628</v>
      </c>
      <c r="F15" s="281" t="s">
        <v>450</v>
      </c>
      <c r="G15" s="199"/>
      <c r="H15" s="189"/>
      <c r="I15" s="189"/>
      <c r="J15" s="382" t="s">
        <v>1012</v>
      </c>
      <c r="K15" s="379"/>
      <c r="L15" s="379"/>
      <c r="M15" s="379"/>
      <c r="N15" s="189"/>
      <c r="O15" s="189"/>
      <c r="P15" s="189"/>
      <c r="Q15" s="189"/>
    </row>
    <row r="16" spans="1:17" ht="15.75" thickBot="1" x14ac:dyDescent="0.3">
      <c r="A16" s="215">
        <v>5</v>
      </c>
      <c r="B16" s="178" t="s">
        <v>965</v>
      </c>
      <c r="C16" s="283" t="s">
        <v>452</v>
      </c>
      <c r="D16" s="140">
        <f>12000*1.2</f>
        <v>14400</v>
      </c>
      <c r="E16" s="140">
        <f>ROUNDUP(D16*0.85,0)</f>
        <v>12240</v>
      </c>
      <c r="F16" s="52">
        <v>0.2</v>
      </c>
      <c r="G16" s="284" t="s">
        <v>779</v>
      </c>
      <c r="H16" s="189"/>
      <c r="I16" s="189"/>
      <c r="J16" s="382">
        <v>16</v>
      </c>
      <c r="K16" s="379"/>
      <c r="L16" s="379"/>
      <c r="M16" s="379"/>
      <c r="N16" s="189"/>
      <c r="O16" s="189"/>
      <c r="P16" s="189"/>
      <c r="Q16" s="189"/>
    </row>
    <row r="17" spans="1:17" ht="26.25" thickBot="1" x14ac:dyDescent="0.3">
      <c r="A17" s="215">
        <v>6</v>
      </c>
      <c r="B17" s="179" t="str">
        <f>CONCATENATE(I1,J4)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4»</v>
      </c>
      <c r="C17" s="198" t="s">
        <v>724</v>
      </c>
      <c r="D17" s="210">
        <f>ROUNDUP(D16*0.2,0)</f>
        <v>2880</v>
      </c>
      <c r="E17" s="210">
        <f>ROUNDUP(E16*0.2,0)</f>
        <v>2448</v>
      </c>
      <c r="F17" s="281" t="s">
        <v>450</v>
      </c>
      <c r="G17" s="199"/>
      <c r="H17" s="189"/>
      <c r="I17" s="189"/>
      <c r="J17" s="382">
        <v>17</v>
      </c>
      <c r="K17" s="379"/>
      <c r="L17" s="379"/>
      <c r="M17" s="379"/>
      <c r="N17" s="189"/>
      <c r="O17" s="189"/>
      <c r="P17" s="189"/>
      <c r="Q17" s="189"/>
    </row>
    <row r="18" spans="1:17" ht="26.25" thickBot="1" x14ac:dyDescent="0.3">
      <c r="A18" s="215">
        <v>7</v>
      </c>
      <c r="B18" s="179" t="str">
        <f>CONCATENATE(I2,J4)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4»</v>
      </c>
      <c r="C18" s="198" t="s">
        <v>725</v>
      </c>
      <c r="D18" s="210">
        <f>ROUNDUP(D17*0.97*3,0)</f>
        <v>8381</v>
      </c>
      <c r="E18" s="210">
        <f>ROUNDUP(E17*0.97*3,0)</f>
        <v>7124</v>
      </c>
      <c r="F18" s="281" t="s">
        <v>450</v>
      </c>
      <c r="G18" s="199"/>
      <c r="H18" s="189"/>
      <c r="I18" s="189"/>
      <c r="J18" s="382">
        <v>18</v>
      </c>
      <c r="K18" s="379"/>
      <c r="L18" s="379"/>
      <c r="M18" s="379"/>
      <c r="N18" s="189"/>
      <c r="O18" s="189"/>
      <c r="P18" s="189"/>
      <c r="Q18" s="189"/>
    </row>
    <row r="19" spans="1:17" ht="26.25" thickBot="1" x14ac:dyDescent="0.3">
      <c r="A19" s="215">
        <v>8</v>
      </c>
      <c r="B19" s="278" t="str">
        <f>CONCATENATE(I3,J4)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4»</v>
      </c>
      <c r="C19" s="331" t="s">
        <v>726</v>
      </c>
      <c r="D19" s="279">
        <f>ROUNDUP(D17*0.95*5,0)</f>
        <v>13680</v>
      </c>
      <c r="E19" s="279">
        <f>ROUNDUP(E17*0.95*5,0)</f>
        <v>11628</v>
      </c>
      <c r="F19" s="332" t="s">
        <v>450</v>
      </c>
      <c r="G19" s="280"/>
      <c r="I19" s="189"/>
      <c r="J19" s="382">
        <v>19</v>
      </c>
      <c r="K19" s="379"/>
      <c r="L19" s="379"/>
      <c r="M19" s="379"/>
    </row>
    <row r="20" spans="1:17" ht="29.25" customHeight="1" thickBot="1" x14ac:dyDescent="0.3">
      <c r="A20" s="215"/>
      <c r="B20" s="323" t="s">
        <v>791</v>
      </c>
      <c r="C20" s="324"/>
      <c r="D20" s="325"/>
      <c r="E20" s="325"/>
      <c r="F20" s="325"/>
      <c r="G20" s="330"/>
      <c r="I20" s="189"/>
      <c r="J20" s="382">
        <v>20</v>
      </c>
      <c r="K20" s="379"/>
      <c r="L20" s="379"/>
      <c r="M20" s="379"/>
    </row>
    <row r="21" spans="1:17" ht="15.75" thickBot="1" x14ac:dyDescent="0.3">
      <c r="A21" s="215">
        <v>9</v>
      </c>
      <c r="B21" s="327" t="s">
        <v>966</v>
      </c>
      <c r="C21" s="333" t="s">
        <v>612</v>
      </c>
      <c r="D21" s="321">
        <f>13500*1.2</f>
        <v>16200</v>
      </c>
      <c r="E21" s="321">
        <f>ROUNDUP(D21*0.85,0)</f>
        <v>13770</v>
      </c>
      <c r="F21" s="52">
        <v>0.2</v>
      </c>
      <c r="G21" s="322" t="s">
        <v>472</v>
      </c>
      <c r="I21" s="189"/>
      <c r="J21" s="382">
        <v>21</v>
      </c>
      <c r="K21" s="379"/>
      <c r="L21" s="379"/>
      <c r="M21" s="379"/>
    </row>
    <row r="22" spans="1:17" ht="26.25" thickBot="1" x14ac:dyDescent="0.3">
      <c r="A22" s="215">
        <v>10</v>
      </c>
      <c r="B22" s="179" t="str">
        <f>CONCATENATE(I1,J2)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2»</v>
      </c>
      <c r="C22" s="187" t="s">
        <v>727</v>
      </c>
      <c r="D22" s="210">
        <f>ROUNDUP(D21*0.2,0)</f>
        <v>3240</v>
      </c>
      <c r="E22" s="210">
        <f>ROUNDUP(E21*0.2,0)</f>
        <v>2754</v>
      </c>
      <c r="F22" s="281" t="s">
        <v>450</v>
      </c>
      <c r="G22" s="199"/>
      <c r="I22" s="189"/>
      <c r="J22" s="382">
        <v>22</v>
      </c>
      <c r="K22" s="379"/>
      <c r="L22" s="379"/>
      <c r="M22" s="379"/>
    </row>
    <row r="23" spans="1:17" ht="26.25" thickBot="1" x14ac:dyDescent="0.3">
      <c r="A23" s="215">
        <v>11</v>
      </c>
      <c r="B23" s="179" t="str">
        <f>CONCATENATE(I2,J2)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2»</v>
      </c>
      <c r="C23" s="187" t="s">
        <v>728</v>
      </c>
      <c r="D23" s="210">
        <f>ROUNDUP(D22*0.97*3,0)</f>
        <v>9429</v>
      </c>
      <c r="E23" s="210">
        <f>ROUNDUP(E22*0.97*3,0)</f>
        <v>8015</v>
      </c>
      <c r="F23" s="281" t="s">
        <v>450</v>
      </c>
      <c r="G23" s="199"/>
      <c r="I23" s="189"/>
      <c r="J23" s="382">
        <v>23</v>
      </c>
      <c r="K23" s="379"/>
      <c r="L23" s="379"/>
      <c r="M23" s="379"/>
    </row>
    <row r="24" spans="1:17" ht="26.25" thickBot="1" x14ac:dyDescent="0.3">
      <c r="A24" s="215">
        <v>12</v>
      </c>
      <c r="B24" s="179" t="str">
        <f>CONCATENATE(I3,J2)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2»</v>
      </c>
      <c r="C24" s="187" t="s">
        <v>729</v>
      </c>
      <c r="D24" s="210">
        <f>ROUNDUP(D22*0.95*5,0)</f>
        <v>15390</v>
      </c>
      <c r="E24" s="210">
        <f>ROUNDUP(E22*0.95*5,0)</f>
        <v>13082</v>
      </c>
      <c r="F24" s="281" t="s">
        <v>450</v>
      </c>
      <c r="G24" s="199"/>
      <c r="I24" s="189"/>
      <c r="J24" s="382">
        <v>24</v>
      </c>
      <c r="K24" s="379"/>
      <c r="L24" s="379"/>
      <c r="M24" s="379"/>
    </row>
    <row r="25" spans="1:17" ht="15.75" thickBot="1" x14ac:dyDescent="0.3">
      <c r="A25" s="215">
        <v>13</v>
      </c>
      <c r="B25" s="178" t="s">
        <v>967</v>
      </c>
      <c r="C25" s="285" t="s">
        <v>613</v>
      </c>
      <c r="D25" s="140">
        <f>13500*1.2</f>
        <v>16200</v>
      </c>
      <c r="E25" s="140">
        <f>ROUNDUP(D25*0.85,0)</f>
        <v>13770</v>
      </c>
      <c r="F25" s="52">
        <v>0.2</v>
      </c>
      <c r="G25" s="284" t="s">
        <v>779</v>
      </c>
      <c r="I25" s="189"/>
      <c r="J25" s="382">
        <v>25</v>
      </c>
      <c r="K25" s="379"/>
      <c r="L25" s="379"/>
      <c r="M25" s="379"/>
    </row>
    <row r="26" spans="1:17" ht="26.25" thickBot="1" x14ac:dyDescent="0.3">
      <c r="A26" s="215">
        <v>14</v>
      </c>
      <c r="B26" s="179" t="str">
        <f>CONCATENATE(I1,J5)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5»</v>
      </c>
      <c r="C26" s="187" t="s">
        <v>730</v>
      </c>
      <c r="D26" s="210">
        <f>ROUNDUP(D25*0.2,0)</f>
        <v>3240</v>
      </c>
      <c r="E26" s="210">
        <f>ROUNDUP(E25*0.2,0)</f>
        <v>2754</v>
      </c>
      <c r="F26" s="281" t="s">
        <v>450</v>
      </c>
      <c r="G26" s="199"/>
      <c r="I26" s="189"/>
      <c r="J26" s="382">
        <v>26</v>
      </c>
      <c r="K26" s="379"/>
      <c r="L26" s="379"/>
      <c r="M26" s="379"/>
    </row>
    <row r="27" spans="1:17" ht="26.25" thickBot="1" x14ac:dyDescent="0.3">
      <c r="A27" s="215">
        <v>15</v>
      </c>
      <c r="B27" s="179" t="str">
        <f>CONCATENATE(I2,J5)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5»</v>
      </c>
      <c r="C27" s="187" t="s">
        <v>731</v>
      </c>
      <c r="D27" s="210">
        <f>ROUNDUP(D26*0.97*3,0)</f>
        <v>9429</v>
      </c>
      <c r="E27" s="210">
        <f>ROUNDUP(E26*0.97*3,0)</f>
        <v>8015</v>
      </c>
      <c r="F27" s="281" t="s">
        <v>450</v>
      </c>
      <c r="G27" s="199"/>
      <c r="I27" s="189"/>
      <c r="J27" s="382">
        <v>27</v>
      </c>
      <c r="K27" s="379"/>
      <c r="L27" s="379"/>
      <c r="M27" s="379"/>
    </row>
    <row r="28" spans="1:17" ht="26.25" thickBot="1" x14ac:dyDescent="0.3">
      <c r="A28" s="215">
        <v>16</v>
      </c>
      <c r="B28" s="278" t="str">
        <f>CONCATENATE(I3,J5)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5»</v>
      </c>
      <c r="C28" s="334" t="s">
        <v>732</v>
      </c>
      <c r="D28" s="279">
        <f>ROUNDUP(D26*0.95*5,0)</f>
        <v>15390</v>
      </c>
      <c r="E28" s="279">
        <f>ROUNDUP(E26*0.95*5,0)</f>
        <v>13082</v>
      </c>
      <c r="F28" s="332" t="s">
        <v>450</v>
      </c>
      <c r="G28" s="280"/>
      <c r="I28" s="189"/>
      <c r="J28" s="382">
        <v>28</v>
      </c>
      <c r="K28" s="379"/>
      <c r="L28" s="379"/>
      <c r="M28" s="379"/>
    </row>
    <row r="29" spans="1:17" ht="29.25" customHeight="1" thickBot="1" x14ac:dyDescent="0.3">
      <c r="A29" s="215"/>
      <c r="B29" s="323" t="s">
        <v>471</v>
      </c>
      <c r="C29" s="324"/>
      <c r="D29" s="325"/>
      <c r="E29" s="325"/>
      <c r="F29" s="325"/>
      <c r="G29" s="330"/>
      <c r="I29" s="189"/>
      <c r="J29" s="382">
        <v>29</v>
      </c>
      <c r="K29" s="379"/>
      <c r="L29" s="379"/>
      <c r="M29" s="379"/>
    </row>
    <row r="30" spans="1:17" ht="15.75" thickBot="1" x14ac:dyDescent="0.3">
      <c r="A30" s="215">
        <v>17</v>
      </c>
      <c r="B30" s="327" t="s">
        <v>968</v>
      </c>
      <c r="C30" s="333" t="s">
        <v>781</v>
      </c>
      <c r="D30" s="321">
        <f>15000*1.2</f>
        <v>18000</v>
      </c>
      <c r="E30" s="321">
        <f>ROUNDUP(D30*0.85,0)</f>
        <v>15300</v>
      </c>
      <c r="F30" s="52">
        <v>0.2</v>
      </c>
      <c r="G30" s="322" t="s">
        <v>472</v>
      </c>
      <c r="I30" s="189"/>
      <c r="J30" s="382">
        <v>30</v>
      </c>
      <c r="K30" s="379"/>
      <c r="L30" s="379"/>
      <c r="M30" s="379"/>
    </row>
    <row r="31" spans="1:17" ht="26.25" thickBot="1" x14ac:dyDescent="0.3">
      <c r="A31" s="215">
        <v>18</v>
      </c>
      <c r="B31" s="179" t="str">
        <f>CONCATENATE(I1,J3)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3»</v>
      </c>
      <c r="C31" s="187" t="s">
        <v>783</v>
      </c>
      <c r="D31" s="210">
        <f>ROUNDUP(D30*0.2,0)</f>
        <v>3600</v>
      </c>
      <c r="E31" s="210">
        <f>ROUNDUP(E30*0.2,0)</f>
        <v>3060</v>
      </c>
      <c r="F31" s="281" t="s">
        <v>450</v>
      </c>
      <c r="G31" s="199"/>
      <c r="I31" s="189"/>
      <c r="J31" s="382" t="s">
        <v>1013</v>
      </c>
      <c r="K31" s="379"/>
      <c r="L31" s="379"/>
      <c r="M31" s="379"/>
    </row>
    <row r="32" spans="1:17" ht="26.25" thickBot="1" x14ac:dyDescent="0.3">
      <c r="A32" s="215">
        <v>19</v>
      </c>
      <c r="B32" s="179" t="str">
        <f>CONCATENATE(I2,J3)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3»</v>
      </c>
      <c r="C32" s="187" t="s">
        <v>784</v>
      </c>
      <c r="D32" s="210">
        <f>ROUNDUP(D31*0.97*3,0)</f>
        <v>10476</v>
      </c>
      <c r="E32" s="210">
        <f>ROUNDUP(E31*0.97*3,0)</f>
        <v>8905</v>
      </c>
      <c r="F32" s="281" t="s">
        <v>450</v>
      </c>
      <c r="G32" s="199"/>
      <c r="I32" s="189"/>
      <c r="J32" s="382" t="s">
        <v>1014</v>
      </c>
      <c r="K32" s="379"/>
      <c r="L32" s="379"/>
      <c r="M32" s="379"/>
    </row>
    <row r="33" spans="1:13" ht="26.25" thickBot="1" x14ac:dyDescent="0.3">
      <c r="A33" s="215">
        <v>20</v>
      </c>
      <c r="B33" s="179" t="str">
        <f>CONCATENATE(I3,J3)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3»</v>
      </c>
      <c r="C33" s="187" t="s">
        <v>785</v>
      </c>
      <c r="D33" s="210">
        <f>ROUNDUP(D31*0.95*5,0)</f>
        <v>17100</v>
      </c>
      <c r="E33" s="210">
        <f>ROUNDUP(E31*0.95*5,0)</f>
        <v>14535</v>
      </c>
      <c r="F33" s="281" t="s">
        <v>450</v>
      </c>
      <c r="G33" s="199"/>
      <c r="I33" s="189"/>
      <c r="J33" s="382" t="s">
        <v>1015</v>
      </c>
      <c r="K33" s="379"/>
      <c r="L33" s="379"/>
      <c r="M33" s="379"/>
    </row>
    <row r="34" spans="1:13" ht="15.75" thickBot="1" x14ac:dyDescent="0.3">
      <c r="A34" s="215">
        <v>21</v>
      </c>
      <c r="B34" s="178" t="s">
        <v>969</v>
      </c>
      <c r="C34" s="285" t="s">
        <v>782</v>
      </c>
      <c r="D34" s="140">
        <f>15000*1.2</f>
        <v>18000</v>
      </c>
      <c r="E34" s="140">
        <f>ROUNDUP(D34*0.85,0)</f>
        <v>15300</v>
      </c>
      <c r="F34" s="52">
        <v>0.2</v>
      </c>
      <c r="G34" s="284" t="s">
        <v>779</v>
      </c>
      <c r="I34" s="189"/>
      <c r="J34" s="382" t="s">
        <v>1016</v>
      </c>
      <c r="K34" s="379"/>
      <c r="L34" s="379"/>
      <c r="M34" s="379"/>
    </row>
    <row r="35" spans="1:13" ht="26.25" thickBot="1" x14ac:dyDescent="0.3">
      <c r="A35" s="215">
        <v>22</v>
      </c>
      <c r="B35" s="276" t="str">
        <f>CONCATENATE(I1,J6)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6»</v>
      </c>
      <c r="C35" s="187" t="s">
        <v>786</v>
      </c>
      <c r="D35" s="277">
        <f>ROUNDUP(D34*0.2,0)</f>
        <v>3600</v>
      </c>
      <c r="E35" s="277">
        <f>ROUNDUP(E34*0.2,0)</f>
        <v>3060</v>
      </c>
      <c r="F35" s="281" t="s">
        <v>450</v>
      </c>
      <c r="G35" s="199"/>
      <c r="I35" s="189"/>
      <c r="J35" s="382" t="s">
        <v>1017</v>
      </c>
      <c r="K35" s="379"/>
      <c r="L35" s="379"/>
      <c r="M35" s="379"/>
    </row>
    <row r="36" spans="1:13" ht="26.25" thickBot="1" x14ac:dyDescent="0.3">
      <c r="A36" s="215">
        <v>23</v>
      </c>
      <c r="B36" s="276" t="str">
        <f>CONCATENATE(I2,J6)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6»</v>
      </c>
      <c r="C36" s="187" t="s">
        <v>787</v>
      </c>
      <c r="D36" s="210">
        <f>ROUNDUP(D35*0.97*3,0)</f>
        <v>10476</v>
      </c>
      <c r="E36" s="210">
        <f>ROUNDUP(E35*0.97*3,0)</f>
        <v>8905</v>
      </c>
      <c r="F36" s="281" t="s">
        <v>450</v>
      </c>
      <c r="G36" s="199"/>
      <c r="I36" s="189"/>
      <c r="J36" s="382" t="s">
        <v>1018</v>
      </c>
      <c r="K36" s="379"/>
      <c r="L36" s="379"/>
      <c r="M36" s="379"/>
    </row>
    <row r="37" spans="1:13" ht="26.25" thickBot="1" x14ac:dyDescent="0.3">
      <c r="A37" s="215">
        <v>24</v>
      </c>
      <c r="B37" s="335" t="str">
        <f>CONCATENATE(I3,J6)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6»</v>
      </c>
      <c r="C37" s="334" t="s">
        <v>788</v>
      </c>
      <c r="D37" s="279">
        <f>ROUNDUP(D35*0.95*5,0)</f>
        <v>17100</v>
      </c>
      <c r="E37" s="279">
        <f>ROUNDUP(E35*0.95*5,0)</f>
        <v>14535</v>
      </c>
      <c r="F37" s="332" t="s">
        <v>450</v>
      </c>
      <c r="G37" s="280"/>
      <c r="I37" s="189"/>
      <c r="J37" s="382" t="s">
        <v>1020</v>
      </c>
      <c r="K37" s="379"/>
      <c r="L37" s="379"/>
      <c r="M37" s="379"/>
    </row>
    <row r="38" spans="1:13" ht="52.5" thickTop="1" thickBot="1" x14ac:dyDescent="0.3">
      <c r="A38" s="364"/>
      <c r="B38" s="367" t="s">
        <v>1405</v>
      </c>
      <c r="C38" s="368"/>
      <c r="D38" s="361"/>
      <c r="E38" s="361"/>
      <c r="F38" s="361"/>
      <c r="G38" s="369"/>
      <c r="J38" s="383"/>
      <c r="K38" s="378"/>
      <c r="L38" s="378"/>
      <c r="M38" s="378"/>
    </row>
    <row r="39" spans="1:13" ht="29.25" customHeight="1" thickTop="1" thickBot="1" x14ac:dyDescent="0.3">
      <c r="A39" s="294"/>
      <c r="B39" s="365" t="s">
        <v>469</v>
      </c>
      <c r="C39" s="419"/>
      <c r="D39" s="358"/>
      <c r="E39" s="358"/>
      <c r="F39" s="358"/>
      <c r="G39" s="366" t="s">
        <v>1025</v>
      </c>
      <c r="J39" s="383"/>
      <c r="K39" s="378"/>
      <c r="L39" s="378"/>
      <c r="M39" s="378"/>
    </row>
    <row r="40" spans="1:13" ht="15.75" thickBot="1" x14ac:dyDescent="0.3">
      <c r="A40" s="215">
        <v>25</v>
      </c>
      <c r="B40" s="327" t="s">
        <v>970</v>
      </c>
      <c r="C40" s="285" t="s">
        <v>612</v>
      </c>
      <c r="D40" s="321">
        <f>13500*1.2</f>
        <v>16200</v>
      </c>
      <c r="E40" s="321">
        <f>ROUNDUP(D40*0.85,0)</f>
        <v>13770</v>
      </c>
      <c r="F40" s="52">
        <v>0.2</v>
      </c>
      <c r="G40" s="322" t="s">
        <v>472</v>
      </c>
      <c r="J40" s="383"/>
      <c r="K40" s="378"/>
      <c r="L40" s="378"/>
      <c r="M40" s="378"/>
    </row>
    <row r="41" spans="1:13" ht="25.5" customHeight="1" thickBot="1" x14ac:dyDescent="0.3">
      <c r="A41" s="215">
        <v>26</v>
      </c>
      <c r="B41" s="276" t="str">
        <f>CONCATENATE(I1,J2)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2»</v>
      </c>
      <c r="C41" s="340" t="s">
        <v>727</v>
      </c>
      <c r="D41" s="210">
        <f>ROUNDUP(D40*0.2,0)</f>
        <v>3240</v>
      </c>
      <c r="E41" s="210">
        <f>ROUNDUP(E40*0.2,0)</f>
        <v>2754</v>
      </c>
      <c r="F41" s="281" t="s">
        <v>450</v>
      </c>
      <c r="G41" s="199"/>
      <c r="J41" s="383"/>
      <c r="K41" s="378"/>
      <c r="L41" s="378"/>
      <c r="M41" s="378"/>
    </row>
    <row r="42" spans="1:13" ht="25.5" customHeight="1" thickBot="1" x14ac:dyDescent="0.3">
      <c r="A42" s="215">
        <v>27</v>
      </c>
      <c r="B42" s="276" t="str">
        <f>CONCATENATE(I2,J2)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2»</v>
      </c>
      <c r="C42" s="340" t="s">
        <v>728</v>
      </c>
      <c r="D42" s="210">
        <f>ROUNDUP(D41*0.97*3,0)</f>
        <v>9429</v>
      </c>
      <c r="E42" s="210">
        <f>ROUNDUP(E41*0.97*3,0)</f>
        <v>8015</v>
      </c>
      <c r="F42" s="281" t="s">
        <v>450</v>
      </c>
      <c r="G42" s="199"/>
      <c r="J42" s="381"/>
      <c r="K42" s="378"/>
      <c r="L42" s="378"/>
      <c r="M42" s="378"/>
    </row>
    <row r="43" spans="1:13" ht="26.25" thickBot="1" x14ac:dyDescent="0.3">
      <c r="A43" s="215">
        <v>28</v>
      </c>
      <c r="B43" s="201" t="str">
        <f>CONCATENATE(I3,J2)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2»</v>
      </c>
      <c r="C43" s="340" t="s">
        <v>729</v>
      </c>
      <c r="D43" s="210">
        <f>ROUNDUP(D41*0.95*5,0)</f>
        <v>15390</v>
      </c>
      <c r="E43" s="210">
        <f>ROUNDUP(E41*0.95*5,0)</f>
        <v>13082</v>
      </c>
      <c r="F43" s="281" t="s">
        <v>450</v>
      </c>
      <c r="G43" s="199"/>
      <c r="J43" s="381"/>
      <c r="K43" s="378"/>
      <c r="L43" s="378"/>
      <c r="M43" s="378"/>
    </row>
    <row r="44" spans="1:13" ht="15.75" thickBot="1" x14ac:dyDescent="0.3">
      <c r="A44" s="215">
        <v>29</v>
      </c>
      <c r="B44" s="178" t="s">
        <v>967</v>
      </c>
      <c r="C44" s="285" t="s">
        <v>613</v>
      </c>
      <c r="D44" s="140">
        <f>13500*1.2</f>
        <v>16200</v>
      </c>
      <c r="E44" s="140">
        <f>ROUNDUP(D44*0.85,0)</f>
        <v>13770</v>
      </c>
      <c r="F44" s="52">
        <v>0.2</v>
      </c>
      <c r="G44" s="284" t="s">
        <v>779</v>
      </c>
      <c r="J44" s="381"/>
      <c r="K44" s="378"/>
      <c r="L44" s="378"/>
      <c r="M44" s="378"/>
    </row>
    <row r="45" spans="1:13" ht="26.25" thickBot="1" x14ac:dyDescent="0.3">
      <c r="A45" s="215">
        <v>30</v>
      </c>
      <c r="B45" s="276" t="str">
        <f>CONCATENATE(I1,J5)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5»</v>
      </c>
      <c r="C45" s="340" t="s">
        <v>730</v>
      </c>
      <c r="D45" s="210">
        <f>ROUNDUP(D44*0.2,0)</f>
        <v>3240</v>
      </c>
      <c r="E45" s="210">
        <f>ROUNDUP(E44*0.2,0)</f>
        <v>2754</v>
      </c>
      <c r="F45" s="281" t="s">
        <v>450</v>
      </c>
      <c r="G45" s="199"/>
      <c r="J45" s="381"/>
      <c r="K45" s="378"/>
      <c r="L45" s="378"/>
      <c r="M45" s="378"/>
    </row>
    <row r="46" spans="1:13" ht="26.25" thickBot="1" x14ac:dyDescent="0.3">
      <c r="A46" s="215">
        <v>31</v>
      </c>
      <c r="B46" s="276" t="str">
        <f>CONCATENATE(I2,J5)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5»</v>
      </c>
      <c r="C46" s="340" t="s">
        <v>731</v>
      </c>
      <c r="D46" s="210">
        <f>ROUNDUP(D45*0.97*3,0)</f>
        <v>9429</v>
      </c>
      <c r="E46" s="210">
        <f>ROUNDUP(E45*0.97*3,0)</f>
        <v>8015</v>
      </c>
      <c r="F46" s="281" t="s">
        <v>450</v>
      </c>
      <c r="G46" s="199"/>
      <c r="J46" s="103"/>
    </row>
    <row r="47" spans="1:13" ht="26.25" thickBot="1" x14ac:dyDescent="0.3">
      <c r="A47" s="215">
        <v>32</v>
      </c>
      <c r="B47" s="335" t="str">
        <f>CONCATENATE(I3,J5)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5»</v>
      </c>
      <c r="C47" s="341" t="s">
        <v>732</v>
      </c>
      <c r="D47" s="279">
        <f>ROUNDUP(D45*0.95*5,0)</f>
        <v>15390</v>
      </c>
      <c r="E47" s="279">
        <f>ROUNDUP(E45*0.95*5,0)</f>
        <v>13082</v>
      </c>
      <c r="F47" s="332" t="s">
        <v>450</v>
      </c>
      <c r="G47" s="280"/>
      <c r="J47" s="103"/>
    </row>
    <row r="48" spans="1:13" ht="29.25" customHeight="1" thickBot="1" x14ac:dyDescent="0.3">
      <c r="A48" s="215"/>
      <c r="B48" s="323" t="s">
        <v>470</v>
      </c>
      <c r="C48" s="325"/>
      <c r="D48" s="325"/>
      <c r="E48" s="325"/>
      <c r="F48" s="325"/>
      <c r="G48" s="326" t="s">
        <v>1025</v>
      </c>
      <c r="J48" s="103"/>
    </row>
    <row r="49" spans="1:10" ht="15.75" thickBot="1" x14ac:dyDescent="0.3">
      <c r="A49" s="215">
        <v>33</v>
      </c>
      <c r="B49" s="327" t="s">
        <v>966</v>
      </c>
      <c r="C49" s="321" t="s">
        <v>612</v>
      </c>
      <c r="D49" s="321">
        <f>13500*1.2</f>
        <v>16200</v>
      </c>
      <c r="E49" s="321">
        <f>ROUNDUP(D49*0.85,0)</f>
        <v>13770</v>
      </c>
      <c r="F49" s="52">
        <v>0.2</v>
      </c>
      <c r="G49" s="322" t="s">
        <v>472</v>
      </c>
      <c r="J49" s="103"/>
    </row>
    <row r="50" spans="1:10" ht="26.25" thickBot="1" x14ac:dyDescent="0.3">
      <c r="A50" s="215">
        <v>34</v>
      </c>
      <c r="B50" s="276" t="str">
        <f>CONCATENATE(I1,J2)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2»</v>
      </c>
      <c r="C50" s="340" t="s">
        <v>727</v>
      </c>
      <c r="D50" s="210">
        <f>ROUNDUP(D49*0.2,0)</f>
        <v>3240</v>
      </c>
      <c r="E50" s="210">
        <f>ROUNDUP(E49*0.2,0)</f>
        <v>2754</v>
      </c>
      <c r="F50" s="281" t="s">
        <v>450</v>
      </c>
      <c r="G50" s="199"/>
      <c r="J50" s="103"/>
    </row>
    <row r="51" spans="1:10" ht="26.25" thickBot="1" x14ac:dyDescent="0.3">
      <c r="A51" s="215">
        <v>35</v>
      </c>
      <c r="B51" s="276" t="str">
        <f>CONCATENATE(I2,J2)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2»</v>
      </c>
      <c r="C51" s="340" t="s">
        <v>728</v>
      </c>
      <c r="D51" s="210">
        <f>ROUNDUP(D50*0.97*3,0)</f>
        <v>9429</v>
      </c>
      <c r="E51" s="210">
        <f>ROUNDUP(E50*0.97*3,0)</f>
        <v>8015</v>
      </c>
      <c r="F51" s="281" t="s">
        <v>450</v>
      </c>
      <c r="G51" s="199"/>
      <c r="J51" s="103"/>
    </row>
    <row r="52" spans="1:10" ht="26.25" thickBot="1" x14ac:dyDescent="0.3">
      <c r="A52" s="215">
        <v>36</v>
      </c>
      <c r="B52" s="201" t="str">
        <f>CONCATENATE(I3,J2)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2»</v>
      </c>
      <c r="C52" s="340" t="s">
        <v>729</v>
      </c>
      <c r="D52" s="210">
        <f>ROUNDUP(D50*0.95*5,0)</f>
        <v>15390</v>
      </c>
      <c r="E52" s="210">
        <f>ROUNDUP(E50*0.95*5,0)</f>
        <v>13082</v>
      </c>
      <c r="F52" s="281" t="s">
        <v>450</v>
      </c>
      <c r="G52" s="199"/>
      <c r="J52" s="103"/>
    </row>
    <row r="53" spans="1:10" ht="15.75" thickBot="1" x14ac:dyDescent="0.3">
      <c r="A53" s="215">
        <v>37</v>
      </c>
      <c r="B53" s="178" t="s">
        <v>967</v>
      </c>
      <c r="C53" s="140" t="s">
        <v>613</v>
      </c>
      <c r="D53" s="140">
        <f>13500*1.2</f>
        <v>16200</v>
      </c>
      <c r="E53" s="140">
        <f>ROUNDUP(D53*0.85,0)</f>
        <v>13770</v>
      </c>
      <c r="F53" s="52">
        <v>0.2</v>
      </c>
      <c r="G53" s="284" t="s">
        <v>779</v>
      </c>
      <c r="J53" s="103"/>
    </row>
    <row r="54" spans="1:10" ht="26.25" thickBot="1" x14ac:dyDescent="0.3">
      <c r="A54" s="215">
        <v>38</v>
      </c>
      <c r="B54" s="276" t="str">
        <f>CONCATENATE(I1,J5)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5»</v>
      </c>
      <c r="C54" s="340" t="s">
        <v>730</v>
      </c>
      <c r="D54" s="210">
        <f>ROUNDUP(D53*0.2,0)</f>
        <v>3240</v>
      </c>
      <c r="E54" s="210">
        <f>ROUNDUP(E53*0.2,0)</f>
        <v>2754</v>
      </c>
      <c r="F54" s="281" t="s">
        <v>450</v>
      </c>
      <c r="G54" s="199"/>
      <c r="J54" s="103"/>
    </row>
    <row r="55" spans="1:10" ht="26.25" thickBot="1" x14ac:dyDescent="0.3">
      <c r="A55" s="215">
        <v>39</v>
      </c>
      <c r="B55" s="276" t="str">
        <f>CONCATENATE(I2,J5)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5»</v>
      </c>
      <c r="C55" s="340" t="s">
        <v>731</v>
      </c>
      <c r="D55" s="210">
        <f>ROUNDUP(D54*0.97*3,0)</f>
        <v>9429</v>
      </c>
      <c r="E55" s="210">
        <f>ROUNDUP(E54*0.97*3,0)</f>
        <v>8015</v>
      </c>
      <c r="F55" s="281" t="s">
        <v>450</v>
      </c>
      <c r="G55" s="199"/>
      <c r="J55" s="103"/>
    </row>
    <row r="56" spans="1:10" ht="26.25" thickBot="1" x14ac:dyDescent="0.3">
      <c r="A56" s="215">
        <v>40</v>
      </c>
      <c r="B56" s="335" t="str">
        <f>CONCATENATE(I3,J5)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5»</v>
      </c>
      <c r="C56" s="341" t="s">
        <v>732</v>
      </c>
      <c r="D56" s="279">
        <f>ROUNDUP(D54*0.95*5,0)</f>
        <v>15390</v>
      </c>
      <c r="E56" s="279">
        <f>ROUNDUP(E54*0.95*5,0)</f>
        <v>13082</v>
      </c>
      <c r="F56" s="332" t="s">
        <v>450</v>
      </c>
      <c r="G56" s="280"/>
      <c r="J56" s="103"/>
    </row>
    <row r="57" spans="1:10" ht="29.25" customHeight="1" thickBot="1" x14ac:dyDescent="0.3">
      <c r="A57" s="215"/>
      <c r="B57" s="323" t="s">
        <v>471</v>
      </c>
      <c r="C57" s="324"/>
      <c r="D57" s="325"/>
      <c r="E57" s="325"/>
      <c r="F57" s="325"/>
      <c r="G57" s="326" t="s">
        <v>1025</v>
      </c>
      <c r="J57" s="103"/>
    </row>
    <row r="58" spans="1:10" ht="15.75" thickBot="1" x14ac:dyDescent="0.3">
      <c r="A58" s="215">
        <v>41</v>
      </c>
      <c r="B58" s="327" t="s">
        <v>968</v>
      </c>
      <c r="C58" s="337" t="s">
        <v>781</v>
      </c>
      <c r="D58" s="321">
        <f>15000*1.2</f>
        <v>18000</v>
      </c>
      <c r="E58" s="321">
        <f>ROUNDUP(D58*0.85,0)</f>
        <v>15300</v>
      </c>
      <c r="F58" s="52">
        <v>0.2</v>
      </c>
      <c r="G58" s="322" t="s">
        <v>472</v>
      </c>
      <c r="J58" s="103"/>
    </row>
    <row r="59" spans="1:10" ht="26.25" thickBot="1" x14ac:dyDescent="0.3">
      <c r="A59" s="215">
        <v>42</v>
      </c>
      <c r="B59" s="276" t="str">
        <f>CONCATENATE(I1,J3)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3»</v>
      </c>
      <c r="C59" s="338" t="s">
        <v>783</v>
      </c>
      <c r="D59" s="210">
        <f>ROUNDUP(D58*0.2,0)</f>
        <v>3600</v>
      </c>
      <c r="E59" s="210">
        <f>ROUNDUP(E58*0.2,0)</f>
        <v>3060</v>
      </c>
      <c r="F59" s="281" t="s">
        <v>450</v>
      </c>
      <c r="G59" s="199"/>
      <c r="J59" s="103"/>
    </row>
    <row r="60" spans="1:10" ht="26.25" thickBot="1" x14ac:dyDescent="0.3">
      <c r="A60" s="215">
        <v>43</v>
      </c>
      <c r="B60" s="276" t="str">
        <f>CONCATENATE(I2,J3)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3»</v>
      </c>
      <c r="C60" s="338" t="s">
        <v>784</v>
      </c>
      <c r="D60" s="210">
        <v>6984</v>
      </c>
      <c r="E60" s="210">
        <v>6984</v>
      </c>
      <c r="F60" s="281" t="s">
        <v>450</v>
      </c>
      <c r="G60" s="199"/>
      <c r="J60" s="103"/>
    </row>
    <row r="61" spans="1:10" ht="26.25" thickBot="1" x14ac:dyDescent="0.3">
      <c r="A61" s="215">
        <v>44</v>
      </c>
      <c r="B61" s="201" t="str">
        <f>CONCATENATE(I3,J3)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3»</v>
      </c>
      <c r="C61" s="338" t="s">
        <v>785</v>
      </c>
      <c r="D61" s="210">
        <f>ROUNDUP(D59*0.95*5,0)</f>
        <v>17100</v>
      </c>
      <c r="E61" s="210">
        <f>ROUNDUP(E59*0.95*5,0)</f>
        <v>14535</v>
      </c>
      <c r="F61" s="281" t="s">
        <v>450</v>
      </c>
      <c r="G61" s="199"/>
      <c r="J61" s="103"/>
    </row>
    <row r="62" spans="1:10" ht="15.75" thickBot="1" x14ac:dyDescent="0.3">
      <c r="A62" s="215">
        <v>45</v>
      </c>
      <c r="B62" s="178" t="s">
        <v>969</v>
      </c>
      <c r="C62" s="339" t="s">
        <v>782</v>
      </c>
      <c r="D62" s="140">
        <f>15000*1.2</f>
        <v>18000</v>
      </c>
      <c r="E62" s="140">
        <f>ROUNDUP(D62*0.85,0)</f>
        <v>15300</v>
      </c>
      <c r="F62" s="52">
        <v>0.2</v>
      </c>
      <c r="G62" s="284" t="s">
        <v>779</v>
      </c>
      <c r="J62" s="103"/>
    </row>
    <row r="63" spans="1:10" ht="26.25" thickBot="1" x14ac:dyDescent="0.3">
      <c r="A63" s="215">
        <v>46</v>
      </c>
      <c r="B63" s="276" t="str">
        <f>CONCATENATE(I1,J6)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6»</v>
      </c>
      <c r="C63" s="338" t="s">
        <v>786</v>
      </c>
      <c r="D63" s="277">
        <f>ROUNDUP(D62*0.2,0)</f>
        <v>3600</v>
      </c>
      <c r="E63" s="277">
        <f>ROUNDUP(E62*0.2,0)</f>
        <v>3060</v>
      </c>
      <c r="F63" s="281" t="s">
        <v>450</v>
      </c>
      <c r="G63" s="199"/>
      <c r="J63" s="103"/>
    </row>
    <row r="64" spans="1:10" ht="26.25" thickBot="1" x14ac:dyDescent="0.3">
      <c r="A64" s="215">
        <v>47</v>
      </c>
      <c r="B64" s="276" t="str">
        <f>CONCATENATE(I2,J6)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6»</v>
      </c>
      <c r="C64" s="338" t="s">
        <v>787</v>
      </c>
      <c r="D64" s="210">
        <f>ROUNDUP(D63*0.97*3,0)</f>
        <v>10476</v>
      </c>
      <c r="E64" s="210">
        <f>ROUNDUP(E63*0.97*3,0)</f>
        <v>8905</v>
      </c>
      <c r="F64" s="281" t="s">
        <v>450</v>
      </c>
      <c r="G64" s="199"/>
      <c r="J64" s="103"/>
    </row>
    <row r="65" spans="1:10" ht="26.25" thickBot="1" x14ac:dyDescent="0.3">
      <c r="A65" s="215">
        <v>48</v>
      </c>
      <c r="B65" s="335" t="str">
        <f>CONCATENATE(I3,J6)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6»</v>
      </c>
      <c r="C65" s="371" t="s">
        <v>788</v>
      </c>
      <c r="D65" s="279">
        <f>ROUNDUP(D63*0.95*5,0)</f>
        <v>17100</v>
      </c>
      <c r="E65" s="279">
        <f>ROUNDUP(E63*0.95*5,0)</f>
        <v>14535</v>
      </c>
      <c r="F65" s="332" t="s">
        <v>450</v>
      </c>
      <c r="G65" s="280"/>
      <c r="J65" s="103"/>
    </row>
    <row r="66" spans="1:10" ht="39.75" thickTop="1" thickBot="1" x14ac:dyDescent="0.3">
      <c r="A66" s="372"/>
      <c r="B66" s="367" t="s">
        <v>1406</v>
      </c>
      <c r="C66" s="368"/>
      <c r="D66" s="373"/>
      <c r="E66" s="373"/>
      <c r="F66" s="361"/>
      <c r="G66" s="369"/>
      <c r="J66" s="103"/>
    </row>
    <row r="67" spans="1:10" ht="29.25" customHeight="1" thickTop="1" thickBot="1" x14ac:dyDescent="0.3">
      <c r="A67" s="215"/>
      <c r="B67" s="365" t="s">
        <v>469</v>
      </c>
      <c r="C67" s="419"/>
      <c r="D67" s="358"/>
      <c r="E67" s="358"/>
      <c r="F67" s="358"/>
      <c r="G67" s="359"/>
      <c r="J67" s="103"/>
    </row>
    <row r="68" spans="1:10" ht="26.25" customHeight="1" thickBot="1" x14ac:dyDescent="0.3">
      <c r="A68" s="215">
        <v>49</v>
      </c>
      <c r="B68" s="327" t="s">
        <v>971</v>
      </c>
      <c r="C68" s="339" t="s">
        <v>789</v>
      </c>
      <c r="D68" s="321">
        <f>2000*1.2</f>
        <v>2400</v>
      </c>
      <c r="E68" s="321">
        <f>ROUNDUP(D68*0.8,0)</f>
        <v>1920</v>
      </c>
      <c r="F68" s="52">
        <v>0.2</v>
      </c>
      <c r="G68" s="322" t="s">
        <v>837</v>
      </c>
      <c r="J68" s="103"/>
    </row>
    <row r="69" spans="1:10" ht="26.25" thickBot="1" x14ac:dyDescent="0.3">
      <c r="A69" s="215">
        <v>50</v>
      </c>
      <c r="B69" s="179" t="str">
        <f>CONCATENATE(I1,J16,K2)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16 Client»</v>
      </c>
      <c r="C69" s="336" t="s">
        <v>733</v>
      </c>
      <c r="D69" s="210">
        <f>ROUNDUP(D68*0.2,0)</f>
        <v>480</v>
      </c>
      <c r="E69" s="210">
        <f>ROUNDUP(E68*0.2,0)</f>
        <v>384</v>
      </c>
      <c r="F69" s="281" t="s">
        <v>450</v>
      </c>
      <c r="G69" s="199"/>
      <c r="J69" s="103"/>
    </row>
    <row r="70" spans="1:10" ht="26.25" thickBot="1" x14ac:dyDescent="0.3">
      <c r="A70" s="215">
        <v>51</v>
      </c>
      <c r="B70" s="179" t="str">
        <f>CONCATENATE(I2,J16,K2)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16 Client»</v>
      </c>
      <c r="C70" s="336" t="s">
        <v>734</v>
      </c>
      <c r="D70" s="210">
        <f>ROUNDUP(D69*0.97*3,0)</f>
        <v>1397</v>
      </c>
      <c r="E70" s="210">
        <f>ROUNDUP(E69*0.97*3,0)</f>
        <v>1118</v>
      </c>
      <c r="F70" s="281" t="s">
        <v>450</v>
      </c>
      <c r="G70" s="199"/>
      <c r="J70" s="380"/>
    </row>
    <row r="71" spans="1:10" ht="26.25" thickBot="1" x14ac:dyDescent="0.3">
      <c r="A71" s="215">
        <v>52</v>
      </c>
      <c r="B71" s="179" t="str">
        <f>CONCATENATE(I3,J16,K2)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16 Client»</v>
      </c>
      <c r="C71" s="336" t="s">
        <v>735</v>
      </c>
      <c r="D71" s="210">
        <f>ROUNDUP(D69*0.95*5,0)</f>
        <v>2280</v>
      </c>
      <c r="E71" s="210">
        <f>ROUNDUP(E69*0.95*5,0)</f>
        <v>1824</v>
      </c>
      <c r="F71" s="281" t="s">
        <v>450</v>
      </c>
      <c r="G71" s="199"/>
      <c r="J71" s="380"/>
    </row>
    <row r="72" spans="1:10" ht="26.25" customHeight="1" thickBot="1" x14ac:dyDescent="0.3">
      <c r="A72" s="215">
        <v>53</v>
      </c>
      <c r="B72" s="178" t="s">
        <v>972</v>
      </c>
      <c r="C72" s="339" t="s">
        <v>803</v>
      </c>
      <c r="D72" s="140">
        <f>20000*1.2</f>
        <v>24000</v>
      </c>
      <c r="E72" s="140">
        <f>ROUNDUP(D72*0.85,0)</f>
        <v>20400</v>
      </c>
      <c r="F72" s="52">
        <v>0.2</v>
      </c>
      <c r="G72" s="284" t="s">
        <v>779</v>
      </c>
      <c r="J72" s="380"/>
    </row>
    <row r="73" spans="1:10" ht="26.25" thickBot="1" x14ac:dyDescent="0.3">
      <c r="A73" s="215">
        <v>54</v>
      </c>
      <c r="B73" s="179" t="str">
        <f>CONCATENATE(I1,J19,K1)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19 Network Server»</v>
      </c>
      <c r="C73" s="336" t="s">
        <v>736</v>
      </c>
      <c r="D73" s="210">
        <f>ROUNDUP(D72*0.2,0)</f>
        <v>4800</v>
      </c>
      <c r="E73" s="210">
        <f>ROUNDUP(E72*0.2,0)</f>
        <v>4080</v>
      </c>
      <c r="F73" s="281" t="s">
        <v>450</v>
      </c>
      <c r="G73" s="199"/>
      <c r="J73" s="380"/>
    </row>
    <row r="74" spans="1:10" ht="26.25" thickBot="1" x14ac:dyDescent="0.3">
      <c r="A74" s="215">
        <v>55</v>
      </c>
      <c r="B74" s="179" t="str">
        <f>CONCATENATE(I2,J19,K1)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19 Network Server»</v>
      </c>
      <c r="C74" s="336" t="s">
        <v>737</v>
      </c>
      <c r="D74" s="210">
        <f>ROUNDUP(D73*0.97*3,0)</f>
        <v>13968</v>
      </c>
      <c r="E74" s="210">
        <f>ROUNDUP(E73*0.97*3,0)</f>
        <v>11873</v>
      </c>
      <c r="F74" s="281" t="s">
        <v>450</v>
      </c>
      <c r="G74" s="199"/>
    </row>
    <row r="75" spans="1:10" ht="26.25" thickBot="1" x14ac:dyDescent="0.3">
      <c r="A75" s="215">
        <v>56</v>
      </c>
      <c r="B75" s="179" t="str">
        <f>CONCATENATE(I3,J19,K1)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19 Network Server»</v>
      </c>
      <c r="C75" s="336" t="s">
        <v>738</v>
      </c>
      <c r="D75" s="210">
        <f>ROUNDUP(D73*0.95*5,0)</f>
        <v>22800</v>
      </c>
      <c r="E75" s="210">
        <f>ROUNDUP(E73*0.95*5,0)</f>
        <v>19380</v>
      </c>
      <c r="F75" s="281" t="s">
        <v>450</v>
      </c>
      <c r="G75" s="199"/>
    </row>
    <row r="76" spans="1:10" ht="26.25" thickBot="1" x14ac:dyDescent="0.3">
      <c r="A76" s="215">
        <v>57</v>
      </c>
      <c r="B76" s="178" t="s">
        <v>973</v>
      </c>
      <c r="C76" s="339" t="s">
        <v>839</v>
      </c>
      <c r="D76" s="140">
        <f>2000*1.2</f>
        <v>2400</v>
      </c>
      <c r="E76" s="140">
        <f>ROUNDUP(D76*0.8,0)</f>
        <v>1920</v>
      </c>
      <c r="F76" s="52">
        <v>0.2</v>
      </c>
      <c r="G76" s="284" t="s">
        <v>779</v>
      </c>
    </row>
    <row r="77" spans="1:10" ht="26.25" thickBot="1" x14ac:dyDescent="0.3">
      <c r="A77" s="215">
        <v>58</v>
      </c>
      <c r="B77" s="179" t="str">
        <f>CONCATENATE(I1,J19,K2)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19 Client»</v>
      </c>
      <c r="C77" s="336" t="s">
        <v>850</v>
      </c>
      <c r="D77" s="210">
        <f>ROUNDUP(D76*0.2,0)</f>
        <v>480</v>
      </c>
      <c r="E77" s="210">
        <f>ROUNDUP(E76*0.2,0)</f>
        <v>384</v>
      </c>
      <c r="F77" s="281" t="s">
        <v>450</v>
      </c>
      <c r="G77" s="199"/>
    </row>
    <row r="78" spans="1:10" ht="26.25" thickBot="1" x14ac:dyDescent="0.3">
      <c r="A78" s="215">
        <v>59</v>
      </c>
      <c r="B78" s="179" t="str">
        <f>CONCATENATE(I2,J19,K2)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19 Client»</v>
      </c>
      <c r="C78" s="336" t="s">
        <v>817</v>
      </c>
      <c r="D78" s="210">
        <f>ROUNDUP(D77*0.97*3,0)</f>
        <v>1397</v>
      </c>
      <c r="E78" s="210">
        <f>ROUNDUP(E77*0.97*3,0)</f>
        <v>1118</v>
      </c>
      <c r="F78" s="281" t="s">
        <v>450</v>
      </c>
      <c r="G78" s="199"/>
    </row>
    <row r="79" spans="1:10" ht="26.25" thickBot="1" x14ac:dyDescent="0.3">
      <c r="A79" s="215">
        <v>60</v>
      </c>
      <c r="B79" s="278" t="str">
        <f>CONCATENATE(I3,J19,K2)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19 Client»</v>
      </c>
      <c r="C79" s="336" t="s">
        <v>818</v>
      </c>
      <c r="D79" s="210">
        <f>ROUNDUP(D77*0.95*5,0)</f>
        <v>2280</v>
      </c>
      <c r="E79" s="210">
        <f>ROUNDUP(E77*0.95*5,0)</f>
        <v>1824</v>
      </c>
      <c r="F79" s="332" t="s">
        <v>450</v>
      </c>
      <c r="G79" s="280"/>
    </row>
    <row r="80" spans="1:10" ht="29.25" customHeight="1" thickBot="1" x14ac:dyDescent="0.3">
      <c r="A80" s="215"/>
      <c r="B80" s="323" t="s">
        <v>470</v>
      </c>
      <c r="C80" s="324"/>
      <c r="D80" s="325"/>
      <c r="E80" s="325"/>
      <c r="F80" s="325"/>
      <c r="G80" s="326" t="s">
        <v>1025</v>
      </c>
    </row>
    <row r="81" spans="1:7" ht="26.25" thickBot="1" x14ac:dyDescent="0.3">
      <c r="A81" s="215">
        <v>61</v>
      </c>
      <c r="B81" s="327" t="s">
        <v>1769</v>
      </c>
      <c r="C81" s="337" t="s">
        <v>838</v>
      </c>
      <c r="D81" s="321">
        <f>3500*1.2</f>
        <v>4200</v>
      </c>
      <c r="E81" s="321">
        <f>ROUNDUP(D81*0.85,0)</f>
        <v>3570</v>
      </c>
      <c r="F81" s="52">
        <v>0.2</v>
      </c>
      <c r="G81" s="322" t="s">
        <v>472</v>
      </c>
    </row>
    <row r="82" spans="1:7" ht="26.25" thickBot="1" x14ac:dyDescent="0.3">
      <c r="A82" s="215">
        <v>62</v>
      </c>
      <c r="B82" s="179" t="str">
        <f>CONCATENATE(I1,J17,K2)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17 Client»</v>
      </c>
      <c r="C82" s="338" t="s">
        <v>794</v>
      </c>
      <c r="D82" s="210">
        <f>ROUNDUP(D81*0.2,0)</f>
        <v>840</v>
      </c>
      <c r="E82" s="210">
        <f>ROUNDUP(E81*0.2,0)</f>
        <v>714</v>
      </c>
      <c r="F82" s="281" t="s">
        <v>450</v>
      </c>
      <c r="G82" s="199"/>
    </row>
    <row r="83" spans="1:7" ht="26.25" thickBot="1" x14ac:dyDescent="0.3">
      <c r="A83" s="215">
        <v>63</v>
      </c>
      <c r="B83" s="179" t="str">
        <f>CONCATENATE(I2,J17,K2)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17 Client»</v>
      </c>
      <c r="C83" s="338" t="s">
        <v>795</v>
      </c>
      <c r="D83" s="210">
        <f>ROUNDUP(D82*0.97*3,0)</f>
        <v>2445</v>
      </c>
      <c r="E83" s="210">
        <f>ROUNDUP(E82*0.97*3,0)</f>
        <v>2078</v>
      </c>
      <c r="F83" s="281" t="s">
        <v>450</v>
      </c>
      <c r="G83" s="199"/>
    </row>
    <row r="84" spans="1:7" ht="26.25" thickBot="1" x14ac:dyDescent="0.3">
      <c r="A84" s="215">
        <v>64</v>
      </c>
      <c r="B84" s="179" t="str">
        <f>CONCATENATE(I3,J17,K2)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17 Client»</v>
      </c>
      <c r="C84" s="338" t="s">
        <v>796</v>
      </c>
      <c r="D84" s="210">
        <f>ROUNDUP(D82*0.95*5,0)</f>
        <v>3990</v>
      </c>
      <c r="E84" s="210">
        <f>ROUNDUP(E82*0.95*5,0)</f>
        <v>3392</v>
      </c>
      <c r="F84" s="281" t="s">
        <v>450</v>
      </c>
      <c r="G84" s="199"/>
    </row>
    <row r="85" spans="1:7" ht="26.25" thickBot="1" x14ac:dyDescent="0.3">
      <c r="A85" s="215">
        <v>65</v>
      </c>
      <c r="B85" s="178" t="s">
        <v>1770</v>
      </c>
      <c r="C85" s="339" t="s">
        <v>790</v>
      </c>
      <c r="D85" s="140">
        <f>35000*1.2</f>
        <v>42000</v>
      </c>
      <c r="E85" s="140">
        <f>ROUNDUP(D85*0.85,0)</f>
        <v>35700</v>
      </c>
      <c r="F85" s="52">
        <v>0.2</v>
      </c>
      <c r="G85" s="284" t="s">
        <v>779</v>
      </c>
    </row>
    <row r="86" spans="1:7" ht="26.25" thickBot="1" x14ac:dyDescent="0.3">
      <c r="A86" s="215">
        <v>66</v>
      </c>
      <c r="B86" s="179" t="str">
        <f>CONCATENATE(I1,J20,K1)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20 Network Server»</v>
      </c>
      <c r="C86" s="338" t="s">
        <v>797</v>
      </c>
      <c r="D86" s="210">
        <f>ROUNDUP(D85*0.2,0)</f>
        <v>8400</v>
      </c>
      <c r="E86" s="210">
        <f>ROUNDUP(E85*0.2,0)</f>
        <v>7140</v>
      </c>
      <c r="F86" s="281" t="s">
        <v>450</v>
      </c>
      <c r="G86" s="199"/>
    </row>
    <row r="87" spans="1:7" ht="26.25" customHeight="1" thickBot="1" x14ac:dyDescent="0.3">
      <c r="A87" s="215">
        <v>67</v>
      </c>
      <c r="B87" s="179" t="str">
        <f>CONCATENATE(I2,J20,K1)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20 Network Server»</v>
      </c>
      <c r="C87" s="338" t="s">
        <v>798</v>
      </c>
      <c r="D87" s="210">
        <f>ROUNDUP(D86*0.97*3,0)</f>
        <v>24444</v>
      </c>
      <c r="E87" s="210">
        <f>ROUNDUP(E86*0.97*3,0)</f>
        <v>20778</v>
      </c>
      <c r="F87" s="281" t="s">
        <v>450</v>
      </c>
      <c r="G87" s="199"/>
    </row>
    <row r="88" spans="1:7" ht="26.25" customHeight="1" thickBot="1" x14ac:dyDescent="0.3">
      <c r="A88" s="215">
        <v>68</v>
      </c>
      <c r="B88" s="179" t="str">
        <f>CONCATENATE(I3,J20,K1)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20 Network Server»</v>
      </c>
      <c r="C88" s="338" t="s">
        <v>799</v>
      </c>
      <c r="D88" s="210">
        <f>ROUNDUP(D86*0.95*5,0)</f>
        <v>39900</v>
      </c>
      <c r="E88" s="210">
        <f>ROUNDUP(E86*0.95*5,0)</f>
        <v>33915</v>
      </c>
      <c r="F88" s="281" t="s">
        <v>450</v>
      </c>
      <c r="G88" s="199"/>
    </row>
    <row r="89" spans="1:7" ht="26.25" thickBot="1" x14ac:dyDescent="0.3">
      <c r="A89" s="215">
        <v>69</v>
      </c>
      <c r="B89" s="178" t="s">
        <v>1771</v>
      </c>
      <c r="C89" s="339" t="s">
        <v>937</v>
      </c>
      <c r="D89" s="140">
        <f>3500*1.2</f>
        <v>4200</v>
      </c>
      <c r="E89" s="140">
        <f>ROUNDUP(D89*0.85,0)</f>
        <v>3570</v>
      </c>
      <c r="F89" s="52">
        <v>0.2</v>
      </c>
      <c r="G89" s="284" t="s">
        <v>779</v>
      </c>
    </row>
    <row r="90" spans="1:7" ht="26.25" thickBot="1" x14ac:dyDescent="0.3">
      <c r="A90" s="215">
        <v>70</v>
      </c>
      <c r="B90" s="179" t="str">
        <f>CONCATENATE(I1,J20,K2)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20 Client»</v>
      </c>
      <c r="C90" s="338" t="s">
        <v>810</v>
      </c>
      <c r="D90" s="210">
        <f>ROUNDUP(D89*0.2,0)</f>
        <v>840</v>
      </c>
      <c r="E90" s="210">
        <f>ROUNDUP(E89*0.2,0)</f>
        <v>714</v>
      </c>
      <c r="F90" s="281" t="s">
        <v>450</v>
      </c>
      <c r="G90" s="199"/>
    </row>
    <row r="91" spans="1:7" ht="26.25" thickBot="1" x14ac:dyDescent="0.3">
      <c r="A91" s="215">
        <v>71</v>
      </c>
      <c r="B91" s="179" t="str">
        <f>CONCATENATE(I2,J20,K2)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20 Client»</v>
      </c>
      <c r="C91" s="338" t="s">
        <v>811</v>
      </c>
      <c r="D91" s="210">
        <f>ROUNDUP(D90*0.97*3,0)</f>
        <v>2445</v>
      </c>
      <c r="E91" s="210">
        <f>ROUNDUP(E90*0.97*3,0)</f>
        <v>2078</v>
      </c>
      <c r="F91" s="281" t="s">
        <v>450</v>
      </c>
      <c r="G91" s="199"/>
    </row>
    <row r="92" spans="1:7" ht="26.25" thickBot="1" x14ac:dyDescent="0.3">
      <c r="A92" s="215">
        <v>72</v>
      </c>
      <c r="B92" s="278" t="str">
        <f>CONCATENATE(I3,J20,K2)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20 Client»</v>
      </c>
      <c r="C92" s="338" t="s">
        <v>812</v>
      </c>
      <c r="D92" s="210">
        <f>ROUNDUP(D90*0.95*5,0)</f>
        <v>3990</v>
      </c>
      <c r="E92" s="210">
        <f>ROUNDUP(E90*0.95*5,0)</f>
        <v>3392</v>
      </c>
      <c r="F92" s="332" t="s">
        <v>450</v>
      </c>
      <c r="G92" s="280"/>
    </row>
    <row r="93" spans="1:7" ht="29.25" customHeight="1" thickBot="1" x14ac:dyDescent="0.3">
      <c r="A93" s="215"/>
      <c r="B93" s="323" t="s">
        <v>471</v>
      </c>
      <c r="C93" s="324"/>
      <c r="D93" s="325"/>
      <c r="E93" s="325"/>
      <c r="F93" s="325"/>
      <c r="G93" s="326" t="s">
        <v>1025</v>
      </c>
    </row>
    <row r="94" spans="1:7" ht="26.25" thickBot="1" x14ac:dyDescent="0.3">
      <c r="A94" s="215">
        <v>73</v>
      </c>
      <c r="B94" s="327" t="s">
        <v>974</v>
      </c>
      <c r="C94" s="337" t="s">
        <v>453</v>
      </c>
      <c r="D94" s="321">
        <f>5000*1.2</f>
        <v>6000</v>
      </c>
      <c r="E94" s="321">
        <f>ROUNDUP(D94*0.85,0)</f>
        <v>5100</v>
      </c>
      <c r="F94" s="52">
        <v>0.2</v>
      </c>
      <c r="G94" s="322" t="s">
        <v>472</v>
      </c>
    </row>
    <row r="95" spans="1:7" ht="26.25" thickBot="1" x14ac:dyDescent="0.3">
      <c r="A95" s="215">
        <v>74</v>
      </c>
      <c r="B95" s="278" t="str">
        <f>CONCATENATE(I1,J18,K2)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18 Client»</v>
      </c>
      <c r="C95" s="338" t="s">
        <v>739</v>
      </c>
      <c r="D95" s="210">
        <f>ROUNDUP(D94*0.2,0)</f>
        <v>1200</v>
      </c>
      <c r="E95" s="210">
        <f>ROUNDUP(E94*0.2,0)</f>
        <v>1020</v>
      </c>
      <c r="F95" s="281" t="s">
        <v>450</v>
      </c>
      <c r="G95" s="280"/>
    </row>
    <row r="96" spans="1:7" ht="26.25" thickBot="1" x14ac:dyDescent="0.3">
      <c r="A96" s="215">
        <v>75</v>
      </c>
      <c r="B96" s="278" t="str">
        <f>CONCATENATE(I2,J18,K2)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18 Client»</v>
      </c>
      <c r="C96" s="338" t="s">
        <v>740</v>
      </c>
      <c r="D96" s="210">
        <f>ROUNDUP(D95*0.97*3,0)</f>
        <v>3492</v>
      </c>
      <c r="E96" s="210">
        <f>ROUNDUP(E95*0.97*3,0)</f>
        <v>2969</v>
      </c>
      <c r="F96" s="281" t="s">
        <v>450</v>
      </c>
      <c r="G96" s="280"/>
    </row>
    <row r="97" spans="1:7" ht="26.25" thickBot="1" x14ac:dyDescent="0.3">
      <c r="A97" s="215">
        <v>76</v>
      </c>
      <c r="B97" s="278" t="str">
        <f>CONCATENATE(I3,J18,K2)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18 Client»</v>
      </c>
      <c r="C97" s="338" t="s">
        <v>741</v>
      </c>
      <c r="D97" s="210">
        <f>ROUNDUP(D95*0.95*5,0)</f>
        <v>5700</v>
      </c>
      <c r="E97" s="210">
        <f>ROUNDUP(E95*0.95*5,0)</f>
        <v>4845</v>
      </c>
      <c r="F97" s="281" t="s">
        <v>450</v>
      </c>
      <c r="G97" s="280"/>
    </row>
    <row r="98" spans="1:7" ht="26.25" thickBot="1" x14ac:dyDescent="0.3">
      <c r="A98" s="215">
        <v>77</v>
      </c>
      <c r="B98" s="286" t="s">
        <v>975</v>
      </c>
      <c r="C98" s="339" t="s">
        <v>454</v>
      </c>
      <c r="D98" s="140">
        <f>50000*1.2</f>
        <v>60000</v>
      </c>
      <c r="E98" s="140">
        <f>ROUNDUP(D98*0.85,0)</f>
        <v>51000</v>
      </c>
      <c r="F98" s="52">
        <v>0.2</v>
      </c>
      <c r="G98" s="284" t="s">
        <v>779</v>
      </c>
    </row>
    <row r="99" spans="1:7" ht="26.25" thickBot="1" x14ac:dyDescent="0.3">
      <c r="A99" s="215">
        <v>78</v>
      </c>
      <c r="B99" s="274" t="str">
        <f>CONCATENATE(I1,J21,K1)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21 Network Server»</v>
      </c>
      <c r="C99" s="338" t="s">
        <v>742</v>
      </c>
      <c r="D99" s="210">
        <f>ROUNDUP(D98*0.2,0)</f>
        <v>12000</v>
      </c>
      <c r="E99" s="210">
        <f>ROUNDUP(E98*0.2,0)</f>
        <v>10200</v>
      </c>
      <c r="F99" s="281" t="s">
        <v>450</v>
      </c>
      <c r="G99" s="275"/>
    </row>
    <row r="100" spans="1:7" ht="26.25" thickBot="1" x14ac:dyDescent="0.3">
      <c r="A100" s="215">
        <v>79</v>
      </c>
      <c r="B100" s="278" t="str">
        <f>CONCATENATE(I2,J21,K1)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21 Network Server»</v>
      </c>
      <c r="C100" s="338" t="s">
        <v>743</v>
      </c>
      <c r="D100" s="210">
        <f>ROUNDUP(D99*0.97*3,0)</f>
        <v>34920</v>
      </c>
      <c r="E100" s="210">
        <f>ROUNDUP(E99*0.97*3,0)</f>
        <v>29682</v>
      </c>
      <c r="F100" s="281" t="s">
        <v>450</v>
      </c>
      <c r="G100" s="280"/>
    </row>
    <row r="101" spans="1:7" ht="26.25" thickBot="1" x14ac:dyDescent="0.3">
      <c r="A101" s="215">
        <v>80</v>
      </c>
      <c r="B101" s="180" t="str">
        <f>CONCATENATE(I3,J21,K1)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21 Network Server»</v>
      </c>
      <c r="C101" s="371" t="s">
        <v>744</v>
      </c>
      <c r="D101" s="210">
        <f>ROUNDUP(D99*0.95*5,0)</f>
        <v>57000</v>
      </c>
      <c r="E101" s="210">
        <f>ROUNDUP(E99*0.95*5,0)</f>
        <v>48450</v>
      </c>
      <c r="F101" s="282" t="s">
        <v>450</v>
      </c>
      <c r="G101" s="200"/>
    </row>
    <row r="102" spans="1:7" ht="26.25" thickBot="1" x14ac:dyDescent="0.3">
      <c r="A102" s="215">
        <v>81</v>
      </c>
      <c r="B102" s="286" t="s">
        <v>976</v>
      </c>
      <c r="C102" s="339" t="s">
        <v>800</v>
      </c>
      <c r="D102" s="140">
        <f>5000*1.2</f>
        <v>6000</v>
      </c>
      <c r="E102" s="140">
        <f>ROUNDUP(D102*0.85,0)</f>
        <v>5100</v>
      </c>
      <c r="F102" s="52">
        <v>0.2</v>
      </c>
      <c r="G102" s="284" t="s">
        <v>779</v>
      </c>
    </row>
    <row r="103" spans="1:7" ht="26.25" thickBot="1" x14ac:dyDescent="0.3">
      <c r="A103" s="215">
        <v>82</v>
      </c>
      <c r="B103" s="274" t="str">
        <f>CONCATENATE(I1,J21,K2)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21 Client»</v>
      </c>
      <c r="C103" s="338" t="s">
        <v>813</v>
      </c>
      <c r="D103" s="210">
        <f>ROUNDUP(D102*0.2,0)</f>
        <v>1200</v>
      </c>
      <c r="E103" s="210">
        <f>ROUNDUP(E102*0.2,0)</f>
        <v>1020</v>
      </c>
      <c r="F103" s="281" t="s">
        <v>450</v>
      </c>
      <c r="G103" s="275"/>
    </row>
    <row r="104" spans="1:7" ht="26.25" thickBot="1" x14ac:dyDescent="0.3">
      <c r="A104" s="215">
        <v>83</v>
      </c>
      <c r="B104" s="278" t="str">
        <f>CONCATENATE(I2,J21,K2)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21 Client»</v>
      </c>
      <c r="C104" s="338" t="s">
        <v>814</v>
      </c>
      <c r="D104" s="210">
        <f>ROUNDUP(D103*0.97*3,0)</f>
        <v>3492</v>
      </c>
      <c r="E104" s="210">
        <f>ROUNDUP(E103*0.97*3,0)</f>
        <v>2969</v>
      </c>
      <c r="F104" s="281" t="s">
        <v>450</v>
      </c>
      <c r="G104" s="280"/>
    </row>
    <row r="105" spans="1:7" ht="26.25" thickBot="1" x14ac:dyDescent="0.3">
      <c r="A105" s="215">
        <v>84</v>
      </c>
      <c r="B105" s="278" t="str">
        <f>CONCATENATE(I3,J21,K2)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21 Client»</v>
      </c>
      <c r="C105" s="371" t="s">
        <v>815</v>
      </c>
      <c r="D105" s="210">
        <f>ROUNDUP(D103*0.95*5,0)</f>
        <v>5700</v>
      </c>
      <c r="E105" s="210">
        <f>ROUNDUP(E103*0.95*5,0)</f>
        <v>4845</v>
      </c>
      <c r="F105" s="319" t="s">
        <v>450</v>
      </c>
      <c r="G105" s="280"/>
    </row>
    <row r="106" spans="1:7" ht="29.25" customHeight="1" thickBot="1" x14ac:dyDescent="0.3">
      <c r="A106" s="215"/>
      <c r="B106" s="323" t="s">
        <v>792</v>
      </c>
      <c r="C106" s="324"/>
      <c r="D106" s="325"/>
      <c r="E106" s="325"/>
      <c r="F106" s="325"/>
      <c r="G106" s="326" t="s">
        <v>1025</v>
      </c>
    </row>
    <row r="107" spans="1:7" ht="26.25" thickBot="1" x14ac:dyDescent="0.3">
      <c r="A107" s="215">
        <v>85</v>
      </c>
      <c r="B107" s="320" t="s">
        <v>977</v>
      </c>
      <c r="C107" s="339" t="s">
        <v>793</v>
      </c>
      <c r="D107" s="321">
        <f>50000*1.2</f>
        <v>60000</v>
      </c>
      <c r="E107" s="321">
        <f>ROUNDUP(D107*0.85,0)</f>
        <v>51000</v>
      </c>
      <c r="F107" s="52">
        <v>0.2</v>
      </c>
      <c r="G107" s="322" t="s">
        <v>779</v>
      </c>
    </row>
    <row r="108" spans="1:7" ht="26.25" thickBot="1" x14ac:dyDescent="0.3">
      <c r="A108" s="215">
        <v>86</v>
      </c>
      <c r="B108" s="274" t="str">
        <f>CONCATENATE(I1,J22,K1)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22 Network Server»</v>
      </c>
      <c r="C108" s="338" t="s">
        <v>816</v>
      </c>
      <c r="D108" s="210">
        <f>ROUNDUP(D107*0.2,0)</f>
        <v>12000</v>
      </c>
      <c r="E108" s="210">
        <f>ROUNDUP(E107*0.2,0)</f>
        <v>10200</v>
      </c>
      <c r="F108" s="281" t="s">
        <v>450</v>
      </c>
      <c r="G108" s="275"/>
    </row>
    <row r="109" spans="1:7" ht="26.25" thickBot="1" x14ac:dyDescent="0.3">
      <c r="A109" s="215">
        <v>87</v>
      </c>
      <c r="B109" s="278" t="str">
        <f>CONCATENATE(I2,J22,K1)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22 Network Server»</v>
      </c>
      <c r="C109" s="338" t="s">
        <v>848</v>
      </c>
      <c r="D109" s="210">
        <f>ROUNDUP(D108*0.97*3,0)</f>
        <v>34920</v>
      </c>
      <c r="E109" s="210">
        <f>ROUNDUP(E108*0.97*3,0)</f>
        <v>29682</v>
      </c>
      <c r="F109" s="281" t="s">
        <v>450</v>
      </c>
      <c r="G109" s="280"/>
    </row>
    <row r="110" spans="1:7" ht="26.25" thickBot="1" x14ac:dyDescent="0.3">
      <c r="A110" s="215">
        <v>88</v>
      </c>
      <c r="B110" s="278" t="str">
        <f>CONCATENATE(I3,J22,K1)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22 Network Server»</v>
      </c>
      <c r="C110" s="371" t="s">
        <v>849</v>
      </c>
      <c r="D110" s="279">
        <f>ROUNDUP(D108*0.95*5,0)</f>
        <v>57000</v>
      </c>
      <c r="E110" s="279">
        <f>ROUNDUP(E108*0.95*5,0)</f>
        <v>48450</v>
      </c>
      <c r="F110" s="319" t="s">
        <v>450</v>
      </c>
      <c r="G110" s="280"/>
    </row>
    <row r="111" spans="1:7" ht="51" customHeight="1" thickTop="1" thickBot="1" x14ac:dyDescent="0.3">
      <c r="A111" s="372"/>
      <c r="B111" s="367" t="s">
        <v>1407</v>
      </c>
      <c r="C111" s="363"/>
      <c r="D111" s="373"/>
      <c r="E111" s="373"/>
      <c r="F111" s="361"/>
      <c r="G111" s="369"/>
    </row>
    <row r="112" spans="1:7" ht="29.25" customHeight="1" thickTop="1" thickBot="1" x14ac:dyDescent="0.3">
      <c r="A112" s="215"/>
      <c r="B112" s="365" t="s">
        <v>469</v>
      </c>
      <c r="C112" s="419"/>
      <c r="D112" s="358"/>
      <c r="E112" s="358"/>
      <c r="F112" s="358"/>
      <c r="G112" s="359"/>
    </row>
    <row r="113" spans="1:7" ht="26.25" thickBot="1" x14ac:dyDescent="0.3">
      <c r="A113" s="215">
        <v>89</v>
      </c>
      <c r="B113" s="327" t="s">
        <v>978</v>
      </c>
      <c r="C113" s="339" t="s">
        <v>840</v>
      </c>
      <c r="D113" s="321">
        <f>45000*1.2</f>
        <v>54000</v>
      </c>
      <c r="E113" s="321">
        <f>ROUNDUP(D113*0.85,0)</f>
        <v>45900</v>
      </c>
      <c r="F113" s="52">
        <v>0.2</v>
      </c>
      <c r="G113" s="322" t="s">
        <v>779</v>
      </c>
    </row>
    <row r="114" spans="1:7" ht="26.25" thickBot="1" x14ac:dyDescent="0.3">
      <c r="A114" s="215">
        <v>90</v>
      </c>
      <c r="B114" s="179" t="str">
        <f>CONCATENATE(I1,J24,K1)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24 Network Server»</v>
      </c>
      <c r="C114" s="338" t="s">
        <v>819</v>
      </c>
      <c r="D114" s="210">
        <f>ROUNDUP(D113*0.2,0)</f>
        <v>10800</v>
      </c>
      <c r="E114" s="210">
        <f>ROUNDUP(E113*0.2,0)</f>
        <v>9180</v>
      </c>
      <c r="F114" s="281" t="s">
        <v>450</v>
      </c>
      <c r="G114" s="199"/>
    </row>
    <row r="115" spans="1:7" ht="26.25" thickBot="1" x14ac:dyDescent="0.3">
      <c r="A115" s="215">
        <v>91</v>
      </c>
      <c r="B115" s="179" t="str">
        <f>CONCATENATE(I2,J24,K1)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24 Network Server»</v>
      </c>
      <c r="C115" s="338" t="s">
        <v>822</v>
      </c>
      <c r="D115" s="210">
        <f>ROUNDUP(D114*0.97*3,0)</f>
        <v>31428</v>
      </c>
      <c r="E115" s="210">
        <f>ROUNDUP(E114*0.97*3,0)</f>
        <v>26714</v>
      </c>
      <c r="F115" s="281" t="s">
        <v>450</v>
      </c>
      <c r="G115" s="199"/>
    </row>
    <row r="116" spans="1:7" ht="26.25" thickBot="1" x14ac:dyDescent="0.3">
      <c r="A116" s="215">
        <v>92</v>
      </c>
      <c r="B116" s="179" t="str">
        <f>CONCATENATE(I3,J24,K1)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24 Network Server»</v>
      </c>
      <c r="C116" s="371" t="s">
        <v>821</v>
      </c>
      <c r="D116" s="210">
        <f>ROUNDUP(D114*0.95*5,0)</f>
        <v>51300</v>
      </c>
      <c r="E116" s="210">
        <f>ROUNDUP(E114*0.95*5,0)</f>
        <v>43605</v>
      </c>
      <c r="F116" s="281" t="s">
        <v>450</v>
      </c>
      <c r="G116" s="199"/>
    </row>
    <row r="117" spans="1:7" ht="26.25" thickBot="1" x14ac:dyDescent="0.3">
      <c r="A117" s="215">
        <v>93</v>
      </c>
      <c r="B117" s="178" t="s">
        <v>979</v>
      </c>
      <c r="C117" s="339" t="s">
        <v>805</v>
      </c>
      <c r="D117" s="140">
        <f>3500*1.2</f>
        <v>4200</v>
      </c>
      <c r="E117" s="140">
        <f>ROUNDUP(D117*0.85,0)</f>
        <v>3570</v>
      </c>
      <c r="F117" s="52">
        <v>0.2</v>
      </c>
      <c r="G117" s="284" t="s">
        <v>779</v>
      </c>
    </row>
    <row r="118" spans="1:7" ht="26.25" thickBot="1" x14ac:dyDescent="0.3">
      <c r="A118" s="215">
        <v>94</v>
      </c>
      <c r="B118" s="179" t="str">
        <f>CONCATENATE(I1,J24,K2)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24 Client»</v>
      </c>
      <c r="C118" s="338" t="s">
        <v>807</v>
      </c>
      <c r="D118" s="210">
        <f>ROUNDUP(D117*0.2,0)</f>
        <v>840</v>
      </c>
      <c r="E118" s="210">
        <f>ROUNDUP(E117*0.2,0)</f>
        <v>714</v>
      </c>
      <c r="F118" s="281" t="s">
        <v>450</v>
      </c>
      <c r="G118" s="199"/>
    </row>
    <row r="119" spans="1:7" ht="26.25" thickBot="1" x14ac:dyDescent="0.3">
      <c r="A119" s="215">
        <v>95</v>
      </c>
      <c r="B119" s="179" t="str">
        <f>CONCATENATE(I2,J24,K2)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24 Client»</v>
      </c>
      <c r="C119" s="338" t="s">
        <v>808</v>
      </c>
      <c r="D119" s="210">
        <f>ROUNDUP(D118*0.97*3,0)</f>
        <v>2445</v>
      </c>
      <c r="E119" s="210">
        <f>ROUNDUP(E118*0.97*3,0)</f>
        <v>2078</v>
      </c>
      <c r="F119" s="281" t="s">
        <v>450</v>
      </c>
      <c r="G119" s="199"/>
    </row>
    <row r="120" spans="1:7" ht="26.25" thickBot="1" x14ac:dyDescent="0.3">
      <c r="A120" s="215">
        <v>96</v>
      </c>
      <c r="B120" s="278" t="str">
        <f>CONCATENATE(I3,J24,K2)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24 Client»</v>
      </c>
      <c r="C120" s="371" t="s">
        <v>809</v>
      </c>
      <c r="D120" s="210">
        <f>ROUNDUP(D118*0.95*5,0)</f>
        <v>3990</v>
      </c>
      <c r="E120" s="210">
        <f>ROUNDUP(E118*0.95*5,0)</f>
        <v>3392</v>
      </c>
      <c r="F120" s="332" t="s">
        <v>450</v>
      </c>
      <c r="G120" s="280"/>
    </row>
    <row r="121" spans="1:7" ht="29.25" customHeight="1" thickBot="1" x14ac:dyDescent="0.3">
      <c r="A121" s="215"/>
      <c r="B121" s="323" t="s">
        <v>470</v>
      </c>
      <c r="C121" s="325"/>
      <c r="D121" s="325"/>
      <c r="E121" s="325"/>
      <c r="F121" s="325"/>
      <c r="G121" s="330"/>
    </row>
    <row r="122" spans="1:7" ht="26.25" thickBot="1" x14ac:dyDescent="0.3">
      <c r="A122" s="215">
        <v>97</v>
      </c>
      <c r="B122" s="327" t="s">
        <v>1772</v>
      </c>
      <c r="C122" s="339" t="s">
        <v>843</v>
      </c>
      <c r="D122" s="321">
        <f>50000*1.2</f>
        <v>60000</v>
      </c>
      <c r="E122" s="321">
        <f>ROUNDUP(D122*0.85,0)</f>
        <v>51000</v>
      </c>
      <c r="F122" s="52">
        <v>0.2</v>
      </c>
      <c r="G122" s="322" t="s">
        <v>779</v>
      </c>
    </row>
    <row r="123" spans="1:7" ht="26.25" thickBot="1" x14ac:dyDescent="0.3">
      <c r="A123" s="215">
        <v>98</v>
      </c>
      <c r="B123" s="179" t="str">
        <f>CONCATENATE(I1,J25,K1)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25 Network Server»</v>
      </c>
      <c r="C123" s="338" t="s">
        <v>823</v>
      </c>
      <c r="D123" s="210">
        <f>ROUNDUP(D122*0.2,0)</f>
        <v>12000</v>
      </c>
      <c r="E123" s="210">
        <f>ROUNDUP(E122*0.2,0)</f>
        <v>10200</v>
      </c>
      <c r="F123" s="281" t="s">
        <v>450</v>
      </c>
      <c r="G123" s="199"/>
    </row>
    <row r="124" spans="1:7" ht="26.25" thickBot="1" x14ac:dyDescent="0.3">
      <c r="A124" s="215">
        <v>99</v>
      </c>
      <c r="B124" s="179" t="str">
        <f>CONCATENATE(I2,J25,K1)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25 Network Server»</v>
      </c>
      <c r="C124" s="338" t="s">
        <v>820</v>
      </c>
      <c r="D124" s="210">
        <f>ROUNDUP(D123*0.97*3,0)</f>
        <v>34920</v>
      </c>
      <c r="E124" s="210">
        <f>ROUNDUP(E123*0.97*3,0)</f>
        <v>29682</v>
      </c>
      <c r="F124" s="281" t="s">
        <v>450</v>
      </c>
      <c r="G124" s="199"/>
    </row>
    <row r="125" spans="1:7" ht="26.25" thickBot="1" x14ac:dyDescent="0.3">
      <c r="A125" s="215">
        <v>100</v>
      </c>
      <c r="B125" s="179" t="str">
        <f>CONCATENATE(I3,J25,K1)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25 Network Server»</v>
      </c>
      <c r="C125" s="371" t="s">
        <v>824</v>
      </c>
      <c r="D125" s="210">
        <f>ROUNDUP(D123*0.95*5,0)</f>
        <v>57000</v>
      </c>
      <c r="E125" s="210">
        <f>ROUNDUP(E123*0.95*5,0)</f>
        <v>48450</v>
      </c>
      <c r="F125" s="281" t="s">
        <v>450</v>
      </c>
      <c r="G125" s="199"/>
    </row>
    <row r="126" spans="1:7" ht="26.25" thickBot="1" x14ac:dyDescent="0.3">
      <c r="A126" s="215">
        <v>101</v>
      </c>
      <c r="B126" s="327" t="s">
        <v>1775</v>
      </c>
      <c r="C126" s="339" t="s">
        <v>844</v>
      </c>
      <c r="D126" s="321">
        <f>4000*1.2</f>
        <v>4800</v>
      </c>
      <c r="E126" s="321">
        <f>ROUNDUP(D126*0.85,0)</f>
        <v>4080</v>
      </c>
      <c r="F126" s="52">
        <v>0.2</v>
      </c>
      <c r="G126" s="322" t="s">
        <v>779</v>
      </c>
    </row>
    <row r="127" spans="1:7" ht="26.25" thickBot="1" x14ac:dyDescent="0.3">
      <c r="A127" s="215">
        <v>102</v>
      </c>
      <c r="B127" s="179" t="str">
        <f>CONCATENATE(I1,J25,K2)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25 Client»</v>
      </c>
      <c r="C127" s="338" t="s">
        <v>825</v>
      </c>
      <c r="D127" s="210">
        <f>ROUNDUP(D126*0.2,0)</f>
        <v>960</v>
      </c>
      <c r="E127" s="210">
        <f>ROUNDUP(E126*0.2,0)</f>
        <v>816</v>
      </c>
      <c r="F127" s="281" t="s">
        <v>450</v>
      </c>
      <c r="G127" s="199"/>
    </row>
    <row r="128" spans="1:7" ht="26.25" thickBot="1" x14ac:dyDescent="0.3">
      <c r="A128" s="215">
        <v>103</v>
      </c>
      <c r="B128" s="179" t="str">
        <f>CONCATENATE(I2,J25,K2)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25 Client»</v>
      </c>
      <c r="C128" s="338" t="s">
        <v>826</v>
      </c>
      <c r="D128" s="210">
        <f>ROUNDUP(D127*0.97*3,0)</f>
        <v>2794</v>
      </c>
      <c r="E128" s="210">
        <f>ROUNDUP(E127*0.97*3,0)</f>
        <v>2375</v>
      </c>
      <c r="F128" s="281" t="s">
        <v>450</v>
      </c>
      <c r="G128" s="199"/>
    </row>
    <row r="129" spans="1:7" ht="26.25" thickBot="1" x14ac:dyDescent="0.3">
      <c r="A129" s="215">
        <v>104</v>
      </c>
      <c r="B129" s="179" t="str">
        <f>CONCATENATE(I3,J25,K2)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25 Client»</v>
      </c>
      <c r="C129" s="371" t="s">
        <v>827</v>
      </c>
      <c r="D129" s="210">
        <f>ROUNDUP(D127*0.95*5,0)</f>
        <v>4560</v>
      </c>
      <c r="E129" s="210">
        <f>ROUNDUP(E127*0.95*5,0)</f>
        <v>3876</v>
      </c>
      <c r="F129" s="281" t="s">
        <v>450</v>
      </c>
      <c r="G129" s="199"/>
    </row>
    <row r="130" spans="1:7" ht="26.25" thickBot="1" x14ac:dyDescent="0.3">
      <c r="A130" s="215">
        <v>105</v>
      </c>
      <c r="B130" s="178" t="s">
        <v>1773</v>
      </c>
      <c r="C130" s="339" t="s">
        <v>845</v>
      </c>
      <c r="D130" s="140">
        <f>50000*1.2</f>
        <v>60000</v>
      </c>
      <c r="E130" s="140">
        <f>ROUNDUP(D130*0.85,0)</f>
        <v>51000</v>
      </c>
      <c r="F130" s="52">
        <v>0.2</v>
      </c>
      <c r="G130" s="284" t="s">
        <v>779</v>
      </c>
    </row>
    <row r="131" spans="1:7" ht="26.25" thickBot="1" x14ac:dyDescent="0.3">
      <c r="A131" s="215">
        <v>106</v>
      </c>
      <c r="B131" s="179" t="str">
        <f>CONCATENATE(I1,J29,K1)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29 Network Server»</v>
      </c>
      <c r="C131" s="338" t="s">
        <v>851</v>
      </c>
      <c r="D131" s="210">
        <f>ROUNDUP(D130*0.2,0)</f>
        <v>12000</v>
      </c>
      <c r="E131" s="210">
        <f>ROUNDUP(E130*0.2,0)</f>
        <v>10200</v>
      </c>
      <c r="F131" s="281" t="s">
        <v>450</v>
      </c>
      <c r="G131" s="199"/>
    </row>
    <row r="132" spans="1:7" ht="26.25" thickBot="1" x14ac:dyDescent="0.3">
      <c r="A132" s="215">
        <v>107</v>
      </c>
      <c r="B132" s="179" t="str">
        <f>CONCATENATE(I2,J29,K1)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29 Network Server»</v>
      </c>
      <c r="C132" s="338" t="s">
        <v>852</v>
      </c>
      <c r="D132" s="210">
        <f>ROUNDUP(D131*0.97*3,0)</f>
        <v>34920</v>
      </c>
      <c r="E132" s="210">
        <f>ROUNDUP(E131*0.97*3,0)</f>
        <v>29682</v>
      </c>
      <c r="F132" s="281" t="s">
        <v>450</v>
      </c>
      <c r="G132" s="199"/>
    </row>
    <row r="133" spans="1:7" ht="26.25" thickBot="1" x14ac:dyDescent="0.3">
      <c r="A133" s="215">
        <v>108</v>
      </c>
      <c r="B133" s="179" t="str">
        <f>CONCATENATE(I3,J29,K1)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29 Network Server»</v>
      </c>
      <c r="C133" s="371" t="s">
        <v>853</v>
      </c>
      <c r="D133" s="210">
        <f>ROUNDUP(D131*0.95*5,0)</f>
        <v>57000</v>
      </c>
      <c r="E133" s="210">
        <f>ROUNDUP(E131*0.95*5,0)</f>
        <v>48450</v>
      </c>
      <c r="F133" s="281" t="s">
        <v>450</v>
      </c>
      <c r="G133" s="199"/>
    </row>
    <row r="134" spans="1:7" ht="26.25" thickBot="1" x14ac:dyDescent="0.3">
      <c r="A134" s="215">
        <v>109</v>
      </c>
      <c r="B134" s="178" t="s">
        <v>1774</v>
      </c>
      <c r="C134" s="339" t="s">
        <v>846</v>
      </c>
      <c r="D134" s="140">
        <f>4000*1.2</f>
        <v>4800</v>
      </c>
      <c r="E134" s="140">
        <f>ROUNDUP(D134*0.85,0)</f>
        <v>4080</v>
      </c>
      <c r="F134" s="52">
        <v>0.2</v>
      </c>
      <c r="G134" s="284" t="s">
        <v>780</v>
      </c>
    </row>
    <row r="135" spans="1:7" ht="26.25" thickBot="1" x14ac:dyDescent="0.3">
      <c r="A135" s="215">
        <v>110</v>
      </c>
      <c r="B135" s="179" t="str">
        <f>CONCATENATE(I1,J29,K2)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29 Client»</v>
      </c>
      <c r="C135" s="338" t="s">
        <v>854</v>
      </c>
      <c r="D135" s="210">
        <f>ROUNDUP(D134*0.2,0)</f>
        <v>960</v>
      </c>
      <c r="E135" s="210">
        <f>ROUNDUP(E134*0.2,0)</f>
        <v>816</v>
      </c>
      <c r="F135" s="281" t="s">
        <v>450</v>
      </c>
      <c r="G135" s="199"/>
    </row>
    <row r="136" spans="1:7" ht="26.25" thickBot="1" x14ac:dyDescent="0.3">
      <c r="A136" s="215">
        <v>111</v>
      </c>
      <c r="B136" s="179" t="str">
        <f>CONCATENATE(I2,J29,K2)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29 Client»</v>
      </c>
      <c r="C136" s="338" t="s">
        <v>855</v>
      </c>
      <c r="D136" s="210">
        <f>ROUNDUP(D135*0.97*3,0)</f>
        <v>2794</v>
      </c>
      <c r="E136" s="210">
        <f>ROUNDUP(E135*0.97*3,0)</f>
        <v>2375</v>
      </c>
      <c r="F136" s="281" t="s">
        <v>450</v>
      </c>
      <c r="G136" s="199"/>
    </row>
    <row r="137" spans="1:7" ht="26.25" thickBot="1" x14ac:dyDescent="0.3">
      <c r="A137" s="215">
        <v>112</v>
      </c>
      <c r="B137" s="278" t="str">
        <f>CONCATENATE(I3,J29,K2)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29 Client»</v>
      </c>
      <c r="C137" s="371" t="s">
        <v>856</v>
      </c>
      <c r="D137" s="210">
        <f>ROUNDUP(D135*0.95*5,0)</f>
        <v>4560</v>
      </c>
      <c r="E137" s="210">
        <f>ROUNDUP(E135*0.95*5,0)</f>
        <v>3876</v>
      </c>
      <c r="F137" s="332" t="s">
        <v>450</v>
      </c>
      <c r="G137" s="280"/>
    </row>
    <row r="138" spans="1:7" ht="29.25" customHeight="1" thickBot="1" x14ac:dyDescent="0.3">
      <c r="A138" s="215"/>
      <c r="B138" s="323" t="s">
        <v>471</v>
      </c>
      <c r="C138" s="325"/>
      <c r="D138" s="325"/>
      <c r="E138" s="325"/>
      <c r="F138" s="325"/>
      <c r="G138" s="330"/>
    </row>
    <row r="139" spans="1:7" ht="26.25" thickBot="1" x14ac:dyDescent="0.3">
      <c r="A139" s="215">
        <v>113</v>
      </c>
      <c r="B139" s="327" t="s">
        <v>980</v>
      </c>
      <c r="C139" s="339" t="s">
        <v>802</v>
      </c>
      <c r="D139" s="321">
        <f>60000*1.2</f>
        <v>72000</v>
      </c>
      <c r="E139" s="321">
        <f>ROUNDUP(D139*0.85,0)</f>
        <v>61200</v>
      </c>
      <c r="F139" s="52">
        <v>0.2</v>
      </c>
      <c r="G139" s="322" t="s">
        <v>779</v>
      </c>
    </row>
    <row r="140" spans="1:7" ht="27.75" customHeight="1" thickBot="1" x14ac:dyDescent="0.3">
      <c r="A140" s="215">
        <v>114</v>
      </c>
      <c r="B140" s="278" t="str">
        <f>CONCATENATE(I1,J26,K1)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26 Network Server»</v>
      </c>
      <c r="C140" s="338" t="s">
        <v>857</v>
      </c>
      <c r="D140" s="210">
        <f>ROUNDUP(D139*0.2,0)</f>
        <v>14400</v>
      </c>
      <c r="E140" s="210">
        <f>ROUNDUP(E139*0.2,0)</f>
        <v>12240</v>
      </c>
      <c r="F140" s="281" t="s">
        <v>450</v>
      </c>
      <c r="G140" s="280"/>
    </row>
    <row r="141" spans="1:7" ht="26.25" thickBot="1" x14ac:dyDescent="0.3">
      <c r="A141" s="215">
        <v>115</v>
      </c>
      <c r="B141" s="278" t="str">
        <f>CONCATENATE(I2,J26,K1)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26 Network Server»</v>
      </c>
      <c r="C141" s="338" t="s">
        <v>858</v>
      </c>
      <c r="D141" s="210">
        <f>ROUNDUP(D140*0.97*3,0)</f>
        <v>41904</v>
      </c>
      <c r="E141" s="210">
        <f>ROUNDUP(E140*0.97*3,0)</f>
        <v>35619</v>
      </c>
      <c r="F141" s="281" t="s">
        <v>450</v>
      </c>
      <c r="G141" s="280"/>
    </row>
    <row r="142" spans="1:7" ht="26.25" thickBot="1" x14ac:dyDescent="0.3">
      <c r="A142" s="215">
        <v>116</v>
      </c>
      <c r="B142" s="278" t="str">
        <f>CONCATENATE(I3,J26,K1)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26 Network Server»</v>
      </c>
      <c r="C142" s="371" t="s">
        <v>859</v>
      </c>
      <c r="D142" s="210">
        <f>ROUNDUP(D140*0.95*5,0)</f>
        <v>68400</v>
      </c>
      <c r="E142" s="210">
        <f>ROUNDUP(E140*0.95*5,0)</f>
        <v>58140</v>
      </c>
      <c r="F142" s="281" t="s">
        <v>450</v>
      </c>
      <c r="G142" s="280"/>
    </row>
    <row r="143" spans="1:7" ht="26.25" thickBot="1" x14ac:dyDescent="0.3">
      <c r="A143" s="215">
        <v>117</v>
      </c>
      <c r="B143" s="327" t="s">
        <v>981</v>
      </c>
      <c r="C143" s="339" t="s">
        <v>804</v>
      </c>
      <c r="D143" s="321">
        <f>4500*1.2</f>
        <v>5400</v>
      </c>
      <c r="E143" s="321">
        <f>ROUNDUP(D143*0.85,0)</f>
        <v>4590</v>
      </c>
      <c r="F143" s="52">
        <v>0.2</v>
      </c>
      <c r="G143" s="322" t="s">
        <v>779</v>
      </c>
    </row>
    <row r="144" spans="1:7" ht="26.25" thickBot="1" x14ac:dyDescent="0.3">
      <c r="A144" s="215">
        <v>118</v>
      </c>
      <c r="B144" s="278" t="str">
        <f>CONCATENATE(I1,J26,K2)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26 Client»</v>
      </c>
      <c r="C144" s="338" t="s">
        <v>863</v>
      </c>
      <c r="D144" s="210">
        <f>ROUNDUP(D143*0.2,0)</f>
        <v>1080</v>
      </c>
      <c r="E144" s="210">
        <f>ROUNDUP(E143*0.2,0)</f>
        <v>918</v>
      </c>
      <c r="F144" s="281" t="s">
        <v>450</v>
      </c>
      <c r="G144" s="280"/>
    </row>
    <row r="145" spans="1:7" ht="26.25" thickBot="1" x14ac:dyDescent="0.3">
      <c r="A145" s="215">
        <v>119</v>
      </c>
      <c r="B145" s="278" t="str">
        <f>CONCATENATE(I2,J26,K2)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26 Client»</v>
      </c>
      <c r="C145" s="338" t="s">
        <v>864</v>
      </c>
      <c r="D145" s="210">
        <f>ROUNDUP(D144*0.97*3,0)</f>
        <v>3143</v>
      </c>
      <c r="E145" s="210">
        <f>ROUNDUP(E144*0.97*3,0)</f>
        <v>2672</v>
      </c>
      <c r="F145" s="281" t="s">
        <v>450</v>
      </c>
      <c r="G145" s="280"/>
    </row>
    <row r="146" spans="1:7" ht="26.25" thickBot="1" x14ac:dyDescent="0.3">
      <c r="A146" s="215">
        <v>120</v>
      </c>
      <c r="B146" s="278" t="str">
        <f>CONCATENATE(I3,J26,K2)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26 Client»</v>
      </c>
      <c r="C146" s="371" t="s">
        <v>865</v>
      </c>
      <c r="D146" s="210">
        <f>ROUNDUP(D144*0.95*5,0)</f>
        <v>5130</v>
      </c>
      <c r="E146" s="210">
        <f>ROUNDUP(E144*0.95*5,0)</f>
        <v>4361</v>
      </c>
      <c r="F146" s="281" t="s">
        <v>450</v>
      </c>
      <c r="G146" s="280"/>
    </row>
    <row r="147" spans="1:7" ht="26.25" thickBot="1" x14ac:dyDescent="0.3">
      <c r="A147" s="215">
        <v>121</v>
      </c>
      <c r="B147" s="178" t="s">
        <v>982</v>
      </c>
      <c r="C147" s="339" t="s">
        <v>806</v>
      </c>
      <c r="D147" s="140">
        <f>60000*1.2</f>
        <v>72000</v>
      </c>
      <c r="E147" s="140">
        <f>ROUNDUP(D147*0.85,0)</f>
        <v>61200</v>
      </c>
      <c r="F147" s="52">
        <v>0.2</v>
      </c>
      <c r="G147" s="284" t="s">
        <v>779</v>
      </c>
    </row>
    <row r="148" spans="1:7" ht="26.25" thickBot="1" x14ac:dyDescent="0.3">
      <c r="A148" s="215">
        <v>122</v>
      </c>
      <c r="B148" s="278" t="str">
        <f>CONCATENATE(I1,J30,K1)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30 Network Server»</v>
      </c>
      <c r="C148" s="338" t="s">
        <v>866</v>
      </c>
      <c r="D148" s="210">
        <f>ROUNDUP(D147*0.2,0)</f>
        <v>14400</v>
      </c>
      <c r="E148" s="210">
        <f>ROUNDUP(E147*0.2,0)</f>
        <v>12240</v>
      </c>
      <c r="F148" s="281" t="s">
        <v>450</v>
      </c>
      <c r="G148" s="280"/>
    </row>
    <row r="149" spans="1:7" ht="26.25" thickBot="1" x14ac:dyDescent="0.3">
      <c r="A149" s="215">
        <v>123</v>
      </c>
      <c r="B149" s="278" t="str">
        <f>CONCATENATE(I2,J30,K1)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30 Network Server»</v>
      </c>
      <c r="C149" s="338" t="s">
        <v>867</v>
      </c>
      <c r="D149" s="210">
        <f>ROUNDUP(D148*0.97*3,0)</f>
        <v>41904</v>
      </c>
      <c r="E149" s="210">
        <f>ROUNDUP(E148*0.97*3,0)</f>
        <v>35619</v>
      </c>
      <c r="F149" s="281" t="s">
        <v>450</v>
      </c>
      <c r="G149" s="280"/>
    </row>
    <row r="150" spans="1:7" ht="26.25" thickBot="1" x14ac:dyDescent="0.3">
      <c r="A150" s="215">
        <v>124</v>
      </c>
      <c r="B150" s="278" t="str">
        <f>CONCATENATE(I3,J30,K1)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30 Network Server»</v>
      </c>
      <c r="C150" s="371" t="s">
        <v>868</v>
      </c>
      <c r="D150" s="210">
        <f>ROUNDUP(D148*0.95*5,0)</f>
        <v>68400</v>
      </c>
      <c r="E150" s="210">
        <f>ROUNDUP(E148*0.95*5,0)</f>
        <v>58140</v>
      </c>
      <c r="F150" s="281" t="s">
        <v>450</v>
      </c>
      <c r="G150" s="280"/>
    </row>
    <row r="151" spans="1:7" ht="26.25" thickBot="1" x14ac:dyDescent="0.3">
      <c r="A151" s="215">
        <v>125</v>
      </c>
      <c r="B151" s="286" t="s">
        <v>983</v>
      </c>
      <c r="C151" s="339" t="s">
        <v>801</v>
      </c>
      <c r="D151" s="140">
        <f>4500*1.2</f>
        <v>5400</v>
      </c>
      <c r="E151" s="140">
        <f>ROUNDUP(D151*0.85,0)</f>
        <v>4590</v>
      </c>
      <c r="F151" s="52">
        <v>0.2</v>
      </c>
      <c r="G151" s="284" t="s">
        <v>779</v>
      </c>
    </row>
    <row r="152" spans="1:7" ht="26.25" thickBot="1" x14ac:dyDescent="0.3">
      <c r="A152" s="215">
        <v>126</v>
      </c>
      <c r="B152" s="274" t="str">
        <f>CONCATENATE(I1,J30,K2)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30 Client»</v>
      </c>
      <c r="C152" s="338" t="s">
        <v>860</v>
      </c>
      <c r="D152" s="210">
        <f>ROUNDUP(D151*0.2,0)</f>
        <v>1080</v>
      </c>
      <c r="E152" s="210">
        <f>ROUNDUP(E151*0.2,0)</f>
        <v>918</v>
      </c>
      <c r="F152" s="281" t="s">
        <v>450</v>
      </c>
      <c r="G152" s="275"/>
    </row>
    <row r="153" spans="1:7" ht="26.25" thickBot="1" x14ac:dyDescent="0.3">
      <c r="A153" s="215">
        <v>127</v>
      </c>
      <c r="B153" s="278" t="str">
        <f>CONCATENATE(I2,J30,K2)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30 Client»</v>
      </c>
      <c r="C153" s="338" t="s">
        <v>861</v>
      </c>
      <c r="D153" s="210">
        <f>ROUNDUP(D152*0.97*3,0)</f>
        <v>3143</v>
      </c>
      <c r="E153" s="210">
        <f>ROUNDUP(E152*0.97*3,0)</f>
        <v>2672</v>
      </c>
      <c r="F153" s="281" t="s">
        <v>450</v>
      </c>
      <c r="G153" s="280"/>
    </row>
    <row r="154" spans="1:7" ht="26.25" thickBot="1" x14ac:dyDescent="0.3">
      <c r="A154" s="215">
        <v>128</v>
      </c>
      <c r="B154" s="278" t="str">
        <f>CONCATENATE(I3,J30,K2)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30 Client»</v>
      </c>
      <c r="C154" s="371" t="s">
        <v>862</v>
      </c>
      <c r="D154" s="210">
        <f>ROUNDUP(D152*0.95*5,0)</f>
        <v>5130</v>
      </c>
      <c r="E154" s="210">
        <f>ROUNDUP(E152*0.95*5,0)</f>
        <v>4361</v>
      </c>
      <c r="F154" s="332" t="s">
        <v>450</v>
      </c>
      <c r="G154" s="280"/>
    </row>
    <row r="155" spans="1:7" ht="29.25" customHeight="1" thickBot="1" x14ac:dyDescent="0.3">
      <c r="A155" s="215"/>
      <c r="B155" s="323" t="s">
        <v>792</v>
      </c>
      <c r="C155" s="325"/>
      <c r="D155" s="325"/>
      <c r="E155" s="325"/>
      <c r="F155" s="325"/>
      <c r="G155" s="330"/>
    </row>
    <row r="156" spans="1:7" ht="26.25" thickBot="1" x14ac:dyDescent="0.3">
      <c r="A156" s="215">
        <v>129</v>
      </c>
      <c r="B156" s="327" t="s">
        <v>984</v>
      </c>
      <c r="C156" s="339" t="s">
        <v>847</v>
      </c>
      <c r="D156" s="321">
        <f>60000*1.2</f>
        <v>72000</v>
      </c>
      <c r="E156" s="321">
        <f>ROUNDUP(D156*0.85,0)</f>
        <v>61200</v>
      </c>
      <c r="F156" s="52">
        <v>0.2</v>
      </c>
      <c r="G156" s="322" t="s">
        <v>779</v>
      </c>
    </row>
    <row r="157" spans="1:7" ht="26.25" thickBot="1" x14ac:dyDescent="0.3">
      <c r="A157" s="215">
        <v>130</v>
      </c>
      <c r="B157" s="278" t="str">
        <f>CONCATENATE(I1,J23,K1)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23 Network Server»</v>
      </c>
      <c r="C157" s="338" t="s">
        <v>869</v>
      </c>
      <c r="D157" s="210">
        <f>ROUNDUP(D156*0.2,0)</f>
        <v>14400</v>
      </c>
      <c r="E157" s="210">
        <f>ROUNDUP(E156*0.2,0)</f>
        <v>12240</v>
      </c>
      <c r="F157" s="281" t="s">
        <v>450</v>
      </c>
      <c r="G157" s="280"/>
    </row>
    <row r="158" spans="1:7" ht="26.25" thickBot="1" x14ac:dyDescent="0.3">
      <c r="A158" s="215">
        <v>131</v>
      </c>
      <c r="B158" s="278" t="str">
        <f>CONCATENATE(I2,J23,K1)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23 Network Server»</v>
      </c>
      <c r="C158" s="338" t="s">
        <v>870</v>
      </c>
      <c r="D158" s="210">
        <f>ROUNDUP(D157*0.97*3,0)</f>
        <v>41904</v>
      </c>
      <c r="E158" s="210">
        <f>ROUNDUP(E157*0.97*3,0)</f>
        <v>35619</v>
      </c>
      <c r="F158" s="281" t="s">
        <v>450</v>
      </c>
      <c r="G158" s="280"/>
    </row>
    <row r="159" spans="1:7" ht="26.25" thickBot="1" x14ac:dyDescent="0.3">
      <c r="A159" s="215">
        <v>132</v>
      </c>
      <c r="B159" s="278" t="str">
        <f>CONCATENATE(I3,J23,K1)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23 Network Server»</v>
      </c>
      <c r="C159" s="371" t="s">
        <v>871</v>
      </c>
      <c r="D159" s="279">
        <f>ROUNDUP(D157*0.95*5,0)</f>
        <v>68400</v>
      </c>
      <c r="E159" s="279">
        <f>ROUNDUP(E157*0.95*5,0)</f>
        <v>58140</v>
      </c>
      <c r="F159" s="332" t="s">
        <v>450</v>
      </c>
      <c r="G159" s="280"/>
    </row>
    <row r="160" spans="1:7" ht="39.75" thickTop="1" thickBot="1" x14ac:dyDescent="0.3">
      <c r="A160" s="364"/>
      <c r="B160" s="367" t="s">
        <v>1408</v>
      </c>
      <c r="C160" s="420"/>
      <c r="D160" s="361"/>
      <c r="E160" s="361"/>
      <c r="F160" s="361"/>
      <c r="G160" s="369"/>
    </row>
    <row r="161" spans="1:7" ht="29.25" customHeight="1" thickTop="1" thickBot="1" x14ac:dyDescent="0.3">
      <c r="A161" s="294"/>
      <c r="B161" s="365" t="s">
        <v>469</v>
      </c>
      <c r="C161" s="421"/>
      <c r="D161" s="358"/>
      <c r="E161" s="358"/>
      <c r="F161" s="358"/>
      <c r="G161" s="359"/>
    </row>
    <row r="162" spans="1:7" ht="15.75" thickBot="1" x14ac:dyDescent="0.3">
      <c r="A162" s="215">
        <v>133</v>
      </c>
      <c r="B162" s="327" t="s">
        <v>985</v>
      </c>
      <c r="C162" s="339" t="s">
        <v>841</v>
      </c>
      <c r="D162" s="321">
        <f>12000*1.2</f>
        <v>14400</v>
      </c>
      <c r="E162" s="321">
        <f>ROUNDUP(D162*0.85,0)</f>
        <v>12240</v>
      </c>
      <c r="F162" s="52">
        <v>0.2</v>
      </c>
      <c r="G162" s="322" t="s">
        <v>472</v>
      </c>
    </row>
    <row r="163" spans="1:7" ht="25.5" customHeight="1" thickBot="1" x14ac:dyDescent="0.3">
      <c r="A163" s="215">
        <v>134</v>
      </c>
      <c r="B163" s="179" t="str">
        <f>CONCATENATE(I1,J31)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31»</v>
      </c>
      <c r="C163" s="338" t="s">
        <v>881</v>
      </c>
      <c r="D163" s="210">
        <f>ROUNDUP(D162*0.2,0)</f>
        <v>2880</v>
      </c>
      <c r="E163" s="210">
        <f>ROUNDUP(E162*0.2,0)</f>
        <v>2448</v>
      </c>
      <c r="F163" s="281" t="s">
        <v>450</v>
      </c>
      <c r="G163" s="199"/>
    </row>
    <row r="164" spans="1:7" ht="25.5" customHeight="1" thickBot="1" x14ac:dyDescent="0.3">
      <c r="A164" s="215">
        <v>135</v>
      </c>
      <c r="B164" s="179" t="str">
        <f>CONCATENATE(I2,J31)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31»</v>
      </c>
      <c r="C164" s="338" t="s">
        <v>882</v>
      </c>
      <c r="D164" s="210">
        <f>ROUNDUP(D163*0.97*3,0)</f>
        <v>8381</v>
      </c>
      <c r="E164" s="210">
        <f>ROUNDUP(E163*0.97*3,0)</f>
        <v>7124</v>
      </c>
      <c r="F164" s="281" t="s">
        <v>450</v>
      </c>
      <c r="G164" s="199"/>
    </row>
    <row r="165" spans="1:7" ht="26.25" thickBot="1" x14ac:dyDescent="0.3">
      <c r="A165" s="215">
        <v>136</v>
      </c>
      <c r="B165" s="179" t="str">
        <f>CONCATENATE(I3,J31)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31»</v>
      </c>
      <c r="C165" s="371" t="s">
        <v>883</v>
      </c>
      <c r="D165" s="210">
        <f>ROUNDUP(D163*0.95*5,0)</f>
        <v>13680</v>
      </c>
      <c r="E165" s="210">
        <f>ROUNDUP(E163*0.95*5,0)</f>
        <v>11628</v>
      </c>
      <c r="F165" s="281" t="s">
        <v>450</v>
      </c>
      <c r="G165" s="199"/>
    </row>
    <row r="166" spans="1:7" ht="15.75" thickBot="1" x14ac:dyDescent="0.3">
      <c r="A166" s="215">
        <v>137</v>
      </c>
      <c r="B166" s="178" t="s">
        <v>986</v>
      </c>
      <c r="C166" s="339" t="s">
        <v>842</v>
      </c>
      <c r="D166" s="140">
        <f>12000*1.2</f>
        <v>14400</v>
      </c>
      <c r="E166" s="140">
        <f>ROUNDUP(D166*0.85,0)</f>
        <v>12240</v>
      </c>
      <c r="F166" s="52">
        <v>0.2</v>
      </c>
      <c r="G166" s="284" t="s">
        <v>779</v>
      </c>
    </row>
    <row r="167" spans="1:7" ht="26.25" thickBot="1" x14ac:dyDescent="0.3">
      <c r="A167" s="215">
        <v>138</v>
      </c>
      <c r="B167" s="179" t="str">
        <f>CONCATENATE(I1,J34)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34»</v>
      </c>
      <c r="C167" s="338" t="s">
        <v>872</v>
      </c>
      <c r="D167" s="210">
        <f>ROUNDUP(D166*0.2,0)</f>
        <v>2880</v>
      </c>
      <c r="E167" s="210">
        <f>ROUNDUP(E166*0.2,0)</f>
        <v>2448</v>
      </c>
      <c r="F167" s="281" t="s">
        <v>450</v>
      </c>
      <c r="G167" s="199"/>
    </row>
    <row r="168" spans="1:7" ht="26.25" thickBot="1" x14ac:dyDescent="0.3">
      <c r="A168" s="215">
        <v>139</v>
      </c>
      <c r="B168" s="179" t="str">
        <f>CONCATENATE(I2,J34)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34»</v>
      </c>
      <c r="C168" s="338" t="s">
        <v>873</v>
      </c>
      <c r="D168" s="210">
        <f>ROUNDUP(D167*0.97*3,0)</f>
        <v>8381</v>
      </c>
      <c r="E168" s="210">
        <f>ROUNDUP(E167*0.97*3,0)</f>
        <v>7124</v>
      </c>
      <c r="F168" s="281" t="s">
        <v>450</v>
      </c>
      <c r="G168" s="199"/>
    </row>
    <row r="169" spans="1:7" ht="26.25" thickBot="1" x14ac:dyDescent="0.3">
      <c r="A169" s="215">
        <v>140</v>
      </c>
      <c r="B169" s="278" t="str">
        <f>CONCATENATE(I3,J34)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34»</v>
      </c>
      <c r="C169" s="371" t="s">
        <v>874</v>
      </c>
      <c r="D169" s="210">
        <f>ROUNDUP(D167*0.95*5,0)</f>
        <v>13680</v>
      </c>
      <c r="E169" s="210">
        <f>ROUNDUP(E167*0.95*5,0)</f>
        <v>11628</v>
      </c>
      <c r="F169" s="332" t="s">
        <v>450</v>
      </c>
      <c r="G169" s="280"/>
    </row>
    <row r="170" spans="1:7" ht="29.25" customHeight="1" thickBot="1" x14ac:dyDescent="0.3">
      <c r="A170" s="215"/>
      <c r="B170" s="323" t="s">
        <v>791</v>
      </c>
      <c r="C170" s="325"/>
      <c r="D170" s="325"/>
      <c r="E170" s="325"/>
      <c r="F170" s="325"/>
      <c r="G170" s="330"/>
    </row>
    <row r="171" spans="1:7" ht="15.75" thickBot="1" x14ac:dyDescent="0.3">
      <c r="A171" s="215">
        <v>141</v>
      </c>
      <c r="B171" s="327" t="s">
        <v>987</v>
      </c>
      <c r="C171" s="339" t="s">
        <v>1706</v>
      </c>
      <c r="D171" s="321">
        <f>12000*1.2</f>
        <v>14400</v>
      </c>
      <c r="E171" s="321">
        <f>ROUNDUP(D171*0.85,0)</f>
        <v>12240</v>
      </c>
      <c r="F171" s="52">
        <v>0.2</v>
      </c>
      <c r="G171" s="322" t="s">
        <v>472</v>
      </c>
    </row>
    <row r="172" spans="1:7" ht="26.25" thickBot="1" x14ac:dyDescent="0.3">
      <c r="A172" s="215">
        <v>142</v>
      </c>
      <c r="B172" s="179" t="str">
        <f>CONCATENATE(I1,J32)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32»</v>
      </c>
      <c r="C172" s="338" t="s">
        <v>875</v>
      </c>
      <c r="D172" s="210">
        <f>ROUNDUP(D171*0.2,0)</f>
        <v>2880</v>
      </c>
      <c r="E172" s="210">
        <f>ROUNDUP(E171*0.2,0)</f>
        <v>2448</v>
      </c>
      <c r="F172" s="281" t="s">
        <v>450</v>
      </c>
      <c r="G172" s="199"/>
    </row>
    <row r="173" spans="1:7" ht="26.25" customHeight="1" thickBot="1" x14ac:dyDescent="0.3">
      <c r="A173" s="215">
        <v>143</v>
      </c>
      <c r="B173" s="179" t="str">
        <f>CONCATENATE(I2,J32)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32»</v>
      </c>
      <c r="C173" s="338" t="s">
        <v>876</v>
      </c>
      <c r="D173" s="210">
        <f>ROUNDUP(D172*0.97*3,0)</f>
        <v>8381</v>
      </c>
      <c r="E173" s="210">
        <f>ROUNDUP(E172*0.97*3,0)</f>
        <v>7124</v>
      </c>
      <c r="F173" s="281" t="s">
        <v>450</v>
      </c>
      <c r="G173" s="199"/>
    </row>
    <row r="174" spans="1:7" ht="26.25" customHeight="1" thickBot="1" x14ac:dyDescent="0.3">
      <c r="A174" s="215">
        <v>144</v>
      </c>
      <c r="B174" s="179" t="str">
        <f>CONCATENATE(I3,J32)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32»</v>
      </c>
      <c r="C174" s="371" t="s">
        <v>877</v>
      </c>
      <c r="D174" s="210">
        <f>ROUNDUP(D172*0.95*5,0)</f>
        <v>13680</v>
      </c>
      <c r="E174" s="210">
        <f>ROUNDUP(E172*0.95*5,0)</f>
        <v>11628</v>
      </c>
      <c r="F174" s="281" t="s">
        <v>450</v>
      </c>
      <c r="G174" s="199"/>
    </row>
    <row r="175" spans="1:7" ht="15.75" thickBot="1" x14ac:dyDescent="0.3">
      <c r="A175" s="215">
        <v>145</v>
      </c>
      <c r="B175" s="178" t="s">
        <v>988</v>
      </c>
      <c r="C175" s="339" t="s">
        <v>1707</v>
      </c>
      <c r="D175" s="140">
        <f>12000*1.2</f>
        <v>14400</v>
      </c>
      <c r="E175" s="140">
        <f>ROUNDUP(D175*0.85,0)</f>
        <v>12240</v>
      </c>
      <c r="F175" s="52">
        <v>0.2</v>
      </c>
      <c r="G175" s="284" t="s">
        <v>779</v>
      </c>
    </row>
    <row r="176" spans="1:7" ht="26.25" thickBot="1" x14ac:dyDescent="0.3">
      <c r="A176" s="215">
        <v>146</v>
      </c>
      <c r="B176" s="179" t="str">
        <f>CONCATENATE(I1,J35)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35»</v>
      </c>
      <c r="C176" s="338" t="s">
        <v>878</v>
      </c>
      <c r="D176" s="210">
        <f>ROUNDUP(D175*0.2,0)</f>
        <v>2880</v>
      </c>
      <c r="E176" s="210">
        <f>ROUNDUP(E175*0.2,0)</f>
        <v>2448</v>
      </c>
      <c r="F176" s="281" t="s">
        <v>450</v>
      </c>
      <c r="G176" s="199"/>
    </row>
    <row r="177" spans="1:7" ht="26.25" thickBot="1" x14ac:dyDescent="0.3">
      <c r="A177" s="215">
        <v>147</v>
      </c>
      <c r="B177" s="179" t="str">
        <f>CONCATENATE(I2,J35)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35»</v>
      </c>
      <c r="C177" s="338" t="s">
        <v>879</v>
      </c>
      <c r="D177" s="210">
        <f>ROUNDUP(D176*0.97*3,0)</f>
        <v>8381</v>
      </c>
      <c r="E177" s="210">
        <f>ROUNDUP(E176*0.97*3,0)</f>
        <v>7124</v>
      </c>
      <c r="F177" s="281" t="s">
        <v>450</v>
      </c>
      <c r="G177" s="199"/>
    </row>
    <row r="178" spans="1:7" ht="26.25" thickBot="1" x14ac:dyDescent="0.3">
      <c r="A178" s="215">
        <v>148</v>
      </c>
      <c r="B178" s="278" t="str">
        <f>CONCATENATE(I3,J35)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35»</v>
      </c>
      <c r="C178" s="371" t="s">
        <v>880</v>
      </c>
      <c r="D178" s="210">
        <f>ROUNDUP(D176*0.95*5,0)</f>
        <v>13680</v>
      </c>
      <c r="E178" s="210">
        <f>ROUNDUP(E176*0.95*5,0)</f>
        <v>11628</v>
      </c>
      <c r="F178" s="332" t="s">
        <v>450</v>
      </c>
      <c r="G178" s="280"/>
    </row>
    <row r="179" spans="1:7" ht="29.25" customHeight="1" thickBot="1" x14ac:dyDescent="0.3">
      <c r="A179" s="215"/>
      <c r="B179" s="323" t="s">
        <v>471</v>
      </c>
      <c r="C179" s="325"/>
      <c r="D179" s="325"/>
      <c r="E179" s="325"/>
      <c r="F179" s="325"/>
      <c r="G179" s="330"/>
    </row>
    <row r="180" spans="1:7" ht="15.75" thickBot="1" x14ac:dyDescent="0.3">
      <c r="A180" s="215">
        <v>149</v>
      </c>
      <c r="B180" s="327" t="s">
        <v>989</v>
      </c>
      <c r="C180" s="339" t="s">
        <v>930</v>
      </c>
      <c r="D180" s="321">
        <f>12000*1.2</f>
        <v>14400</v>
      </c>
      <c r="E180" s="321">
        <f>ROUNDUP(D180*0.85,0)</f>
        <v>12240</v>
      </c>
      <c r="F180" s="52">
        <v>0.2</v>
      </c>
      <c r="G180" s="322" t="s">
        <v>472</v>
      </c>
    </row>
    <row r="181" spans="1:7" ht="26.25" thickBot="1" x14ac:dyDescent="0.3">
      <c r="A181" s="215">
        <v>150</v>
      </c>
      <c r="B181" s="179" t="str">
        <f>CONCATENATE(I1,J33)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33»</v>
      </c>
      <c r="C181" s="338" t="s">
        <v>884</v>
      </c>
      <c r="D181" s="210">
        <f>ROUNDUP(D180*0.2,0)</f>
        <v>2880</v>
      </c>
      <c r="E181" s="210">
        <f>ROUNDUP(E180*0.2,0)</f>
        <v>2448</v>
      </c>
      <c r="F181" s="281" t="s">
        <v>450</v>
      </c>
      <c r="G181" s="199"/>
    </row>
    <row r="182" spans="1:7" ht="26.25" thickBot="1" x14ac:dyDescent="0.3">
      <c r="A182" s="215">
        <v>151</v>
      </c>
      <c r="B182" s="179" t="str">
        <f>CONCATENATE(I2,J33)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33»</v>
      </c>
      <c r="C182" s="338" t="s">
        <v>885</v>
      </c>
      <c r="D182" s="210">
        <f>ROUNDUP(D181*0.97*3,0)</f>
        <v>8381</v>
      </c>
      <c r="E182" s="210">
        <f>ROUNDUP(E181*0.97*3,0)</f>
        <v>7124</v>
      </c>
      <c r="F182" s="281" t="s">
        <v>450</v>
      </c>
      <c r="G182" s="199"/>
    </row>
    <row r="183" spans="1:7" ht="26.25" thickBot="1" x14ac:dyDescent="0.3">
      <c r="A183" s="215">
        <v>152</v>
      </c>
      <c r="B183" s="179" t="str">
        <f>CONCATENATE(I3,J33)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33»</v>
      </c>
      <c r="C183" s="371" t="s">
        <v>886</v>
      </c>
      <c r="D183" s="210">
        <f>ROUNDUP(D181*0.95*5,0)</f>
        <v>13680</v>
      </c>
      <c r="E183" s="210">
        <f>ROUNDUP(E181*0.95*5,0)</f>
        <v>11628</v>
      </c>
      <c r="F183" s="281" t="s">
        <v>450</v>
      </c>
      <c r="G183" s="199"/>
    </row>
    <row r="184" spans="1:7" ht="15.75" thickBot="1" x14ac:dyDescent="0.3">
      <c r="A184" s="215">
        <v>153</v>
      </c>
      <c r="B184" s="178" t="s">
        <v>990</v>
      </c>
      <c r="C184" s="339" t="s">
        <v>1708</v>
      </c>
      <c r="D184" s="140">
        <f>12000*1.2</f>
        <v>14400</v>
      </c>
      <c r="E184" s="140">
        <f>ROUNDUP(D184*0.85,0)</f>
        <v>12240</v>
      </c>
      <c r="F184" s="52">
        <v>0.2</v>
      </c>
      <c r="G184" s="284" t="s">
        <v>779</v>
      </c>
    </row>
    <row r="185" spans="1:7" ht="26.25" thickBot="1" x14ac:dyDescent="0.3">
      <c r="A185" s="215">
        <v>154</v>
      </c>
      <c r="B185" s="276" t="str">
        <f>CONCATENATE(I1,J36)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36»</v>
      </c>
      <c r="C185" s="338" t="s">
        <v>931</v>
      </c>
      <c r="D185" s="210">
        <f>ROUNDUP(D184*0.2,0)</f>
        <v>2880</v>
      </c>
      <c r="E185" s="210">
        <f>ROUNDUP(E184*0.2,0)</f>
        <v>2448</v>
      </c>
      <c r="F185" s="281" t="s">
        <v>450</v>
      </c>
      <c r="G185" s="199"/>
    </row>
    <row r="186" spans="1:7" ht="26.25" thickBot="1" x14ac:dyDescent="0.3">
      <c r="A186" s="215">
        <v>155</v>
      </c>
      <c r="B186" s="276" t="str">
        <f>CONCATENATE(I2,J36)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36»</v>
      </c>
      <c r="C186" s="338" t="s">
        <v>932</v>
      </c>
      <c r="D186" s="210">
        <f>ROUNDUP(D185*0.97*3,0)</f>
        <v>8381</v>
      </c>
      <c r="E186" s="210">
        <f>ROUNDUP(E185*0.97*3,0)</f>
        <v>7124</v>
      </c>
      <c r="F186" s="281" t="s">
        <v>450</v>
      </c>
      <c r="G186" s="199"/>
    </row>
    <row r="187" spans="1:7" ht="26.25" thickBot="1" x14ac:dyDescent="0.3">
      <c r="A187" s="215">
        <v>156</v>
      </c>
      <c r="B187" s="335" t="str">
        <f>CONCATENATE(I3,J36)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36»</v>
      </c>
      <c r="C187" s="371" t="s">
        <v>933</v>
      </c>
      <c r="D187" s="279">
        <f>ROUNDUP(D185*0.95*5,0)</f>
        <v>13680</v>
      </c>
      <c r="E187" s="279">
        <f>ROUNDUP(E185*0.95*5,0)</f>
        <v>11628</v>
      </c>
      <c r="F187" s="332" t="s">
        <v>450</v>
      </c>
      <c r="G187" s="280"/>
    </row>
    <row r="188" spans="1:7" ht="39.75" thickTop="1" thickBot="1" x14ac:dyDescent="0.3">
      <c r="A188" s="364"/>
      <c r="B188" s="367" t="s">
        <v>1409</v>
      </c>
      <c r="C188" s="361"/>
      <c r="D188" s="361"/>
      <c r="E188" s="361"/>
      <c r="F188" s="361"/>
      <c r="G188" s="369"/>
    </row>
    <row r="189" spans="1:7" ht="29.25" customHeight="1" thickTop="1" thickBot="1" x14ac:dyDescent="0.3">
      <c r="A189" s="294"/>
      <c r="B189" s="365" t="s">
        <v>469</v>
      </c>
      <c r="C189" s="421"/>
      <c r="D189" s="358"/>
      <c r="E189" s="358"/>
      <c r="F189" s="358"/>
      <c r="G189" s="359"/>
    </row>
    <row r="190" spans="1:7" ht="15.75" thickBot="1" x14ac:dyDescent="0.3">
      <c r="A190" s="215">
        <v>157</v>
      </c>
      <c r="B190" s="327" t="s">
        <v>991</v>
      </c>
      <c r="C190" s="339" t="s">
        <v>1709</v>
      </c>
      <c r="D190" s="321">
        <f>12000*1.2</f>
        <v>14400</v>
      </c>
      <c r="E190" s="321">
        <f>ROUNDUP(D190*0.85,0)</f>
        <v>12240</v>
      </c>
      <c r="F190" s="52">
        <v>0.2</v>
      </c>
      <c r="G190" s="322" t="s">
        <v>472</v>
      </c>
    </row>
    <row r="191" spans="1:7" ht="25.5" customHeight="1" thickBot="1" x14ac:dyDescent="0.3">
      <c r="A191" s="215">
        <v>158</v>
      </c>
      <c r="B191" s="179" t="str">
        <f>CONCATENATE(I1,J37)</f>
        <v>Сертификат активации сервиса прямой технической поддержки  уровня "Стандартный" на 1 год для: «Средство криптографической защиты информации «Dcrypt 1.0 v.2», исп. 37»</v>
      </c>
      <c r="C191" s="338" t="s">
        <v>934</v>
      </c>
      <c r="D191" s="210">
        <f>ROUNDUP(D190*0.2,0)</f>
        <v>2880</v>
      </c>
      <c r="E191" s="210">
        <f>ROUNDUP(E190*0.2,0)</f>
        <v>2448</v>
      </c>
      <c r="F191" s="281" t="s">
        <v>450</v>
      </c>
      <c r="G191" s="199"/>
    </row>
    <row r="192" spans="1:7" ht="25.5" customHeight="1" thickBot="1" x14ac:dyDescent="0.3">
      <c r="A192" s="215">
        <v>159</v>
      </c>
      <c r="B192" s="179" t="str">
        <f>CONCATENATE(I2,J37)</f>
        <v>Сертификат активации сервиса прямой технической поддержки  уровня "Стандартный" на 3 года для: «Средство криптографической защиты информации «Dcrypt 1.0 v.2», исп. 37»</v>
      </c>
      <c r="C192" s="338" t="s">
        <v>935</v>
      </c>
      <c r="D192" s="210">
        <f>ROUNDUP(D191*0.97*3,0)</f>
        <v>8381</v>
      </c>
      <c r="E192" s="210">
        <f>ROUNDUP(E191*0.97*3,0)</f>
        <v>7124</v>
      </c>
      <c r="F192" s="281" t="s">
        <v>450</v>
      </c>
      <c r="G192" s="199"/>
    </row>
    <row r="193" spans="1:7" ht="26.25" thickBot="1" x14ac:dyDescent="0.3">
      <c r="A193" s="215">
        <v>160</v>
      </c>
      <c r="B193" s="179" t="str">
        <f>CONCATENATE(I3,J37)</f>
        <v>Сертификат активации сервиса прямой технической поддержки  уровня "Стандартный" на 5 лет для: «Средство криптографической защиты информации «Dcrypt 1.0 v.2», исп. 37»</v>
      </c>
      <c r="C193" s="371" t="s">
        <v>936</v>
      </c>
      <c r="D193" s="210">
        <f>ROUNDUP(D191*0.95*5,0)</f>
        <v>13680</v>
      </c>
      <c r="E193" s="210">
        <f>ROUNDUP(E191*0.95*5,0)</f>
        <v>11628</v>
      </c>
      <c r="F193" s="281" t="s">
        <v>450</v>
      </c>
      <c r="G193" s="199"/>
    </row>
    <row r="194" spans="1:7" ht="15.75" thickBot="1" x14ac:dyDescent="0.3">
      <c r="A194" s="215"/>
      <c r="B194" s="15" t="s">
        <v>33</v>
      </c>
      <c r="C194" s="16"/>
      <c r="D194" s="113"/>
      <c r="E194" s="113"/>
      <c r="F194" s="113"/>
      <c r="G194" s="17"/>
    </row>
    <row r="195" spans="1:7" ht="29.25" customHeight="1" thickBot="1" x14ac:dyDescent="0.3">
      <c r="A195" s="292">
        <v>161</v>
      </c>
      <c r="B195" s="11" t="s">
        <v>992</v>
      </c>
      <c r="C195" s="422" t="s">
        <v>474</v>
      </c>
      <c r="D195" s="267">
        <v>500</v>
      </c>
      <c r="E195" s="267">
        <f>D195*0.85</f>
        <v>425</v>
      </c>
      <c r="F195" s="24">
        <v>0.2</v>
      </c>
      <c r="G195" s="23" t="s">
        <v>34</v>
      </c>
    </row>
    <row r="196" spans="1:7" ht="72.95" customHeight="1" thickBot="1" x14ac:dyDescent="0.3">
      <c r="A196" s="221"/>
      <c r="B196" s="15" t="s">
        <v>829</v>
      </c>
      <c r="C196" s="16"/>
      <c r="D196" s="17"/>
      <c r="E196" s="17"/>
      <c r="F196" s="17"/>
      <c r="G196" s="18" t="s">
        <v>1046</v>
      </c>
    </row>
    <row r="197" spans="1:7" ht="83.1" customHeight="1" thickBot="1" x14ac:dyDescent="0.3">
      <c r="A197" s="215">
        <v>162</v>
      </c>
      <c r="B197" s="291" t="s">
        <v>1421</v>
      </c>
      <c r="C197" s="174" t="s">
        <v>745</v>
      </c>
      <c r="D197" s="83">
        <v>0.2</v>
      </c>
      <c r="E197" s="83">
        <v>0.2</v>
      </c>
      <c r="F197" s="110">
        <v>0.2</v>
      </c>
      <c r="G197" s="105" t="s">
        <v>1048</v>
      </c>
    </row>
    <row r="198" spans="1:7" ht="105" customHeight="1" thickBot="1" x14ac:dyDescent="0.3">
      <c r="A198" s="215">
        <v>163</v>
      </c>
      <c r="B198" s="213" t="s">
        <v>1422</v>
      </c>
      <c r="C198" s="174" t="s">
        <v>746</v>
      </c>
      <c r="D198" s="83">
        <v>0.2</v>
      </c>
      <c r="E198" s="83">
        <v>0.2</v>
      </c>
      <c r="F198" s="110">
        <v>0.2</v>
      </c>
      <c r="G198" s="6" t="s">
        <v>1313</v>
      </c>
    </row>
    <row r="199" spans="1:7" ht="83.1" customHeight="1" thickBot="1" x14ac:dyDescent="0.3">
      <c r="A199" s="215">
        <v>164</v>
      </c>
      <c r="B199" s="290" t="s">
        <v>1423</v>
      </c>
      <c r="C199" s="174" t="s">
        <v>747</v>
      </c>
      <c r="D199" s="83">
        <v>0.2</v>
      </c>
      <c r="E199" s="83">
        <v>0.2</v>
      </c>
      <c r="F199" s="110">
        <v>0.2</v>
      </c>
      <c r="G199" s="318" t="s">
        <v>1314</v>
      </c>
    </row>
    <row r="200" spans="1:7" ht="83.1" customHeight="1" thickBot="1" x14ac:dyDescent="0.3">
      <c r="A200" s="215">
        <v>165</v>
      </c>
      <c r="B200" s="169" t="s">
        <v>1424</v>
      </c>
      <c r="C200" s="174" t="s">
        <v>748</v>
      </c>
      <c r="D200" s="13">
        <v>0.3</v>
      </c>
      <c r="E200" s="13">
        <v>0.3</v>
      </c>
      <c r="F200" s="110">
        <v>0.2</v>
      </c>
      <c r="G200" s="6" t="s">
        <v>1039</v>
      </c>
    </row>
    <row r="201" spans="1:7" ht="83.1" customHeight="1" thickBot="1" x14ac:dyDescent="0.3">
      <c r="A201" s="215">
        <v>166</v>
      </c>
      <c r="B201" s="169" t="s">
        <v>1425</v>
      </c>
      <c r="C201" s="174" t="s">
        <v>749</v>
      </c>
      <c r="D201" s="13">
        <v>0.3</v>
      </c>
      <c r="E201" s="13">
        <v>0.3</v>
      </c>
      <c r="F201" s="110">
        <v>0.2</v>
      </c>
      <c r="G201" s="6" t="s">
        <v>1320</v>
      </c>
    </row>
    <row r="202" spans="1:7" ht="83.1" customHeight="1" thickBot="1" x14ac:dyDescent="0.3">
      <c r="A202" s="215">
        <v>167</v>
      </c>
      <c r="B202" s="169" t="s">
        <v>1426</v>
      </c>
      <c r="C202" s="174" t="s">
        <v>750</v>
      </c>
      <c r="D202" s="13">
        <v>0.3</v>
      </c>
      <c r="E202" s="13">
        <v>0.3</v>
      </c>
      <c r="F202" s="110">
        <v>0.2</v>
      </c>
      <c r="G202" s="6" t="s">
        <v>1041</v>
      </c>
    </row>
    <row r="203" spans="1:7" ht="120" customHeight="1" thickBot="1" x14ac:dyDescent="0.3">
      <c r="A203" s="215">
        <v>168</v>
      </c>
      <c r="B203" s="170" t="s">
        <v>1427</v>
      </c>
      <c r="C203" s="174" t="s">
        <v>751</v>
      </c>
      <c r="D203" s="147">
        <v>0.35</v>
      </c>
      <c r="E203" s="147">
        <v>0.35</v>
      </c>
      <c r="F203" s="110">
        <v>0.2</v>
      </c>
      <c r="G203" s="6" t="s">
        <v>1043</v>
      </c>
    </row>
    <row r="204" spans="1:7" ht="120" customHeight="1" thickBot="1" x14ac:dyDescent="0.3">
      <c r="A204" s="215">
        <v>169</v>
      </c>
      <c r="B204" s="170" t="s">
        <v>1428</v>
      </c>
      <c r="C204" s="174" t="s">
        <v>752</v>
      </c>
      <c r="D204" s="147">
        <v>0.35</v>
      </c>
      <c r="E204" s="147">
        <v>0.35</v>
      </c>
      <c r="F204" s="110">
        <v>0.2</v>
      </c>
      <c r="G204" s="6" t="s">
        <v>1044</v>
      </c>
    </row>
    <row r="205" spans="1:7" ht="120" customHeight="1" thickBot="1" x14ac:dyDescent="0.3">
      <c r="A205" s="215">
        <v>170</v>
      </c>
      <c r="B205" s="170" t="s">
        <v>1429</v>
      </c>
      <c r="C205" s="174" t="s">
        <v>753</v>
      </c>
      <c r="D205" s="147">
        <v>0.35</v>
      </c>
      <c r="E205" s="147">
        <v>0.35</v>
      </c>
      <c r="F205" s="110">
        <v>0.2</v>
      </c>
      <c r="G205" s="6" t="s">
        <v>1045</v>
      </c>
    </row>
    <row r="206" spans="1:7" ht="25.5" customHeight="1" thickBot="1" x14ac:dyDescent="0.3">
      <c r="A206" s="215">
        <v>171</v>
      </c>
      <c r="B206" s="149" t="s">
        <v>1430</v>
      </c>
      <c r="C206" s="174" t="s">
        <v>754</v>
      </c>
      <c r="D206" s="110">
        <v>0.15</v>
      </c>
      <c r="E206" s="110">
        <v>0.15</v>
      </c>
      <c r="F206" s="110">
        <v>0.2</v>
      </c>
      <c r="G206" s="6" t="s">
        <v>1047</v>
      </c>
    </row>
    <row r="207" spans="1:7" ht="25.5" customHeight="1" thickBot="1" x14ac:dyDescent="0.3">
      <c r="A207" s="215">
        <v>172</v>
      </c>
      <c r="B207" s="150" t="s">
        <v>1431</v>
      </c>
      <c r="C207" s="176" t="s">
        <v>755</v>
      </c>
      <c r="D207" s="111">
        <v>0.25</v>
      </c>
      <c r="E207" s="111">
        <v>0.25</v>
      </c>
      <c r="F207" s="111">
        <v>0.2</v>
      </c>
      <c r="G207" s="14" t="s">
        <v>1047</v>
      </c>
    </row>
    <row r="208" spans="1:7" x14ac:dyDescent="0.25">
      <c r="A208" s="185"/>
      <c r="B208" s="186"/>
    </row>
    <row r="209" spans="1:2" x14ac:dyDescent="0.25">
      <c r="A209" s="185"/>
      <c r="B209" s="186"/>
    </row>
  </sheetData>
  <mergeCells count="4">
    <mergeCell ref="G1:G7"/>
    <mergeCell ref="A1:F6"/>
    <mergeCell ref="A7:F7"/>
    <mergeCell ref="B9:G9"/>
  </mergeCell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>
    <oddHeader>&amp;F</oddHeader>
    <oddFooter>&amp;CDcrypt;Страница  &amp;P из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P99"/>
  <sheetViews>
    <sheetView zoomScale="85" zoomScaleNormal="85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B79" sqref="B79"/>
    </sheetView>
  </sheetViews>
  <sheetFormatPr defaultRowHeight="15" x14ac:dyDescent="0.25"/>
  <cols>
    <col min="1" max="1" width="5" customWidth="1"/>
    <col min="2" max="2" width="105.28515625" customWidth="1"/>
    <col min="3" max="3" width="12" customWidth="1"/>
    <col min="4" max="4" width="15.7109375" customWidth="1"/>
    <col min="5" max="5" width="11.42578125" customWidth="1"/>
    <col min="6" max="6" width="79.7109375" customWidth="1"/>
    <col min="7" max="8" width="14" customWidth="1"/>
    <col min="9" max="9" width="57.5703125" customWidth="1"/>
  </cols>
  <sheetData>
    <row r="1" spans="1:16" ht="13.5" customHeight="1" x14ac:dyDescent="0.25">
      <c r="A1" s="479" t="s">
        <v>447</v>
      </c>
      <c r="B1" s="470"/>
      <c r="C1" s="470"/>
      <c r="D1" s="470"/>
      <c r="E1" s="471"/>
      <c r="F1" s="449" t="s">
        <v>40</v>
      </c>
      <c r="O1" s="192"/>
      <c r="P1" s="87" t="s">
        <v>1024</v>
      </c>
    </row>
    <row r="2" spans="1:16" x14ac:dyDescent="0.25">
      <c r="A2" s="470"/>
      <c r="B2" s="470"/>
      <c r="C2" s="470"/>
      <c r="D2" s="470"/>
      <c r="E2" s="471"/>
      <c r="F2" s="449"/>
      <c r="P2" s="191" t="s">
        <v>1021</v>
      </c>
    </row>
    <row r="3" spans="1:16" x14ac:dyDescent="0.25">
      <c r="A3" s="470"/>
      <c r="B3" s="470"/>
      <c r="C3" s="470"/>
      <c r="D3" s="470"/>
      <c r="E3" s="471"/>
      <c r="F3" s="449"/>
      <c r="P3" s="189" t="s">
        <v>1022</v>
      </c>
    </row>
    <row r="4" spans="1:16" x14ac:dyDescent="0.25">
      <c r="A4" s="470"/>
      <c r="B4" s="470"/>
      <c r="C4" s="470"/>
      <c r="D4" s="470"/>
      <c r="E4" s="471"/>
      <c r="F4" s="449"/>
      <c r="P4" t="s">
        <v>1019</v>
      </c>
    </row>
    <row r="5" spans="1:16" ht="15" customHeight="1" x14ac:dyDescent="0.25">
      <c r="A5" s="470"/>
      <c r="B5" s="470"/>
      <c r="C5" s="470"/>
      <c r="D5" s="470"/>
      <c r="E5" s="471"/>
      <c r="F5" s="449"/>
    </row>
    <row r="6" spans="1:16" x14ac:dyDescent="0.25">
      <c r="A6" s="470"/>
      <c r="B6" s="470"/>
      <c r="C6" s="470"/>
      <c r="D6" s="470"/>
      <c r="E6" s="471"/>
      <c r="F6" s="449"/>
    </row>
    <row r="7" spans="1:16" ht="17.25" customHeight="1" thickBot="1" x14ac:dyDescent="0.3">
      <c r="A7" s="453" t="str">
        <f>'Diamond ACS'!A7:G7</f>
        <v>Срок действия: с 01.01.21</v>
      </c>
      <c r="B7" s="453"/>
      <c r="C7" s="453"/>
      <c r="D7" s="453"/>
      <c r="E7" s="454"/>
      <c r="F7" s="450"/>
    </row>
    <row r="8" spans="1:16" ht="39" thickBot="1" x14ac:dyDescent="0.3">
      <c r="A8" s="74" t="s">
        <v>13</v>
      </c>
      <c r="B8" s="27" t="s">
        <v>0</v>
      </c>
      <c r="C8" s="28" t="s">
        <v>1</v>
      </c>
      <c r="D8" s="28" t="s">
        <v>2</v>
      </c>
      <c r="E8" s="28" t="s">
        <v>3</v>
      </c>
      <c r="F8" s="30" t="s">
        <v>828</v>
      </c>
    </row>
    <row r="9" spans="1:16" ht="26.25" customHeight="1" thickBot="1" x14ac:dyDescent="0.3">
      <c r="A9" s="76"/>
      <c r="B9" s="455" t="s">
        <v>899</v>
      </c>
      <c r="C9" s="444"/>
      <c r="D9" s="444"/>
      <c r="E9" s="444"/>
      <c r="F9" s="445"/>
    </row>
    <row r="10" spans="1:16" ht="26.25" customHeight="1" thickBot="1" x14ac:dyDescent="0.3">
      <c r="A10" s="78"/>
      <c r="B10" s="15" t="s">
        <v>961</v>
      </c>
      <c r="C10" s="16"/>
      <c r="D10" s="19"/>
      <c r="E10" s="17"/>
      <c r="F10" s="18"/>
    </row>
    <row r="11" spans="1:16" ht="26.25" customHeight="1" thickBot="1" x14ac:dyDescent="0.3">
      <c r="A11" s="215">
        <v>1</v>
      </c>
      <c r="B11" s="58" t="s">
        <v>1023</v>
      </c>
      <c r="C11" s="49" t="s">
        <v>325</v>
      </c>
      <c r="D11" s="124">
        <f>ROUNDUP(41250*1.04,0)</f>
        <v>42900</v>
      </c>
      <c r="E11" s="52">
        <v>0.2</v>
      </c>
      <c r="F11" s="53" t="s">
        <v>14</v>
      </c>
    </row>
    <row r="12" spans="1:16" ht="26.25" customHeight="1" thickBot="1" x14ac:dyDescent="0.3">
      <c r="A12" s="215">
        <v>2</v>
      </c>
      <c r="B12" s="265" t="str">
        <f>CONCATENATE(P1,B11,P4)</f>
        <v>Сертификат активации сервиса прямой технической поддержки уровня "Стандартный" на 1 год для: «Модуль расширения многофункционального комплекса сетевой защиты «Diamond VPN/FW» 4 x GbE RJ45»</v>
      </c>
      <c r="C12" s="253" t="s">
        <v>344</v>
      </c>
      <c r="D12" s="266">
        <f>ROUNDUP(D11*0.2,0)</f>
        <v>8580</v>
      </c>
      <c r="E12" s="33">
        <v>0.2</v>
      </c>
      <c r="F12" s="232"/>
    </row>
    <row r="13" spans="1:16" ht="26.25" thickBot="1" x14ac:dyDescent="0.3">
      <c r="A13" s="215">
        <v>3</v>
      </c>
      <c r="B13" s="265" t="str">
        <f>CONCATENATE(P2,B11,P4)</f>
        <v>Сертификат активации сервиса прямой технической поддержки уровня "Стандартный" на 3 года для: «Модуль расширения многофункционального комплекса сетевой защиты «Diamond VPN/FW» 4 x GbE RJ45»</v>
      </c>
      <c r="C13" s="253" t="s">
        <v>693</v>
      </c>
      <c r="D13" s="266">
        <f>ROUNDUP(D12*0.97*3,0)</f>
        <v>24968</v>
      </c>
      <c r="E13" s="33">
        <v>0.2</v>
      </c>
      <c r="F13" s="232"/>
    </row>
    <row r="14" spans="1:16" ht="26.25" thickBot="1" x14ac:dyDescent="0.3">
      <c r="A14" s="215">
        <v>4</v>
      </c>
      <c r="B14" s="265" t="str">
        <f>CONCATENATE(P3,B11,P4)</f>
        <v>Сертификат активации сервиса прямой технической поддержки уровня "Стандартный" на 5 лет для: «Модуль расширения многофункционального комплекса сетевой защиты «Diamond VPN/FW» 4 x GbE RJ45»</v>
      </c>
      <c r="C14" s="253" t="s">
        <v>694</v>
      </c>
      <c r="D14" s="266">
        <f>ROUNDUP(D12*0.95*5,0)</f>
        <v>40755</v>
      </c>
      <c r="E14" s="33">
        <v>0.2</v>
      </c>
      <c r="F14" s="232"/>
    </row>
    <row r="15" spans="1:16" ht="26.25" customHeight="1" thickBot="1" x14ac:dyDescent="0.3">
      <c r="A15" s="215">
        <v>5</v>
      </c>
      <c r="B15" s="42" t="s">
        <v>947</v>
      </c>
      <c r="C15" s="43" t="s">
        <v>326</v>
      </c>
      <c r="D15" s="121">
        <f>ROUNDUP(46420*1.04,0)</f>
        <v>48277</v>
      </c>
      <c r="E15" s="52">
        <v>0.2</v>
      </c>
      <c r="F15" s="47" t="s">
        <v>15</v>
      </c>
    </row>
    <row r="16" spans="1:16" ht="26.25" thickBot="1" x14ac:dyDescent="0.3">
      <c r="A16" s="215">
        <v>6</v>
      </c>
      <c r="B16" s="34" t="str">
        <f>CONCATENATE(P1,B15,P4)</f>
        <v>Сертификат активации сервиса прямой технической поддержки уровня "Стандартный" на 1 год для: «Модуль расширения многофункционального комплекса сетевой защиты «Diamond VPN/FW» 4 x GbE RJ45 with 2 pair Bypass»</v>
      </c>
      <c r="C16" s="256" t="s">
        <v>345</v>
      </c>
      <c r="D16" s="267">
        <f>ROUNDUP(D15*0.2,0)</f>
        <v>9656</v>
      </c>
      <c r="E16" s="33">
        <v>0.2</v>
      </c>
      <c r="F16" s="234"/>
    </row>
    <row r="17" spans="1:6" ht="26.25" thickBot="1" x14ac:dyDescent="0.3">
      <c r="A17" s="215">
        <v>7</v>
      </c>
      <c r="B17" s="34" t="str">
        <f>CONCATENATE(P2,B15,P4)</f>
        <v>Сертификат активации сервиса прямой технической поддержки уровня "Стандартный" на 3 года для: «Модуль расширения многофункционального комплекса сетевой защиты «Diamond VPN/FW» 4 x GbE RJ45 with 2 pair Bypass»</v>
      </c>
      <c r="C17" s="256" t="s">
        <v>695</v>
      </c>
      <c r="D17" s="266">
        <f>ROUNDUP(D16*0.97*3,0)</f>
        <v>28099</v>
      </c>
      <c r="E17" s="33">
        <v>0.2</v>
      </c>
      <c r="F17" s="234"/>
    </row>
    <row r="18" spans="1:6" ht="26.25" thickBot="1" x14ac:dyDescent="0.3">
      <c r="A18" s="215">
        <v>8</v>
      </c>
      <c r="B18" s="34" t="str">
        <f>CONCATENATE(P3,B15,P4)</f>
        <v>Сертификат активации сервиса прямой технической поддержки уровня "Стандартный" на 5 лет для: «Модуль расширения многофункционального комплекса сетевой защиты «Diamond VPN/FW» 4 x GbE RJ45 with 2 pair Bypass»</v>
      </c>
      <c r="C18" s="256" t="s">
        <v>696</v>
      </c>
      <c r="D18" s="266">
        <f>ROUNDUP(D16*0.95*5,0)</f>
        <v>45866</v>
      </c>
      <c r="E18" s="33">
        <v>0.2</v>
      </c>
      <c r="F18" s="234"/>
    </row>
    <row r="19" spans="1:6" ht="26.25" customHeight="1" thickBot="1" x14ac:dyDescent="0.3">
      <c r="A19" s="215">
        <v>9</v>
      </c>
      <c r="B19" s="42" t="s">
        <v>948</v>
      </c>
      <c r="C19" s="43" t="s">
        <v>327</v>
      </c>
      <c r="D19" s="121">
        <f>ROUNDUP(41910*1.04,0)</f>
        <v>43587</v>
      </c>
      <c r="E19" s="52">
        <v>0.2</v>
      </c>
      <c r="F19" s="47" t="s">
        <v>16</v>
      </c>
    </row>
    <row r="20" spans="1:6" ht="26.25" thickBot="1" x14ac:dyDescent="0.3">
      <c r="A20" s="215">
        <v>10</v>
      </c>
      <c r="B20" s="34" t="str">
        <f>CONCATENATE(P1,B19,P4)</f>
        <v>Сертификат активации сервиса прямой технической поддержки уровня "Стандартный" на 1 год для: «Модуль расширения многофункционального комплекса сетевой защиты «Diamond VPN/FW» 4 x GbE SFP»</v>
      </c>
      <c r="C20" s="253" t="s">
        <v>346</v>
      </c>
      <c r="D20" s="267">
        <f>ROUNDUP(D19*0.2,0)</f>
        <v>8718</v>
      </c>
      <c r="E20" s="33">
        <v>0.2</v>
      </c>
      <c r="F20" s="234"/>
    </row>
    <row r="21" spans="1:6" ht="26.25" thickBot="1" x14ac:dyDescent="0.3">
      <c r="A21" s="215">
        <v>11</v>
      </c>
      <c r="B21" s="34" t="str">
        <f>CONCATENATE(P2,B19,P4)</f>
        <v>Сертификат активации сервиса прямой технической поддержки уровня "Стандартный" на 3 года для: «Модуль расширения многофункционального комплекса сетевой защиты «Diamond VPN/FW» 4 x GbE SFP»</v>
      </c>
      <c r="C21" s="253" t="s">
        <v>697</v>
      </c>
      <c r="D21" s="266">
        <f>ROUNDUP(D20*0.97*3,0)</f>
        <v>25370</v>
      </c>
      <c r="E21" s="33">
        <v>0.2</v>
      </c>
      <c r="F21" s="234"/>
    </row>
    <row r="22" spans="1:6" ht="26.25" thickBot="1" x14ac:dyDescent="0.3">
      <c r="A22" s="215">
        <v>12</v>
      </c>
      <c r="B22" s="34" t="str">
        <f>CONCATENATE(P3,B19,P4)</f>
        <v>Сертификат активации сервиса прямой технической поддержки уровня "Стандартный" на 5 лет для: «Модуль расширения многофункционального комплекса сетевой защиты «Diamond VPN/FW» 4 x GbE SFP»</v>
      </c>
      <c r="C22" s="253" t="s">
        <v>698</v>
      </c>
      <c r="D22" s="266">
        <f>ROUNDUP(D20*0.95*5,0)</f>
        <v>41411</v>
      </c>
      <c r="E22" s="33">
        <v>0.2</v>
      </c>
      <c r="F22" s="234"/>
    </row>
    <row r="23" spans="1:6" ht="26.25" customHeight="1" thickBot="1" x14ac:dyDescent="0.3">
      <c r="A23" s="215">
        <v>13</v>
      </c>
      <c r="B23" s="42" t="s">
        <v>949</v>
      </c>
      <c r="C23" s="43" t="s">
        <v>328</v>
      </c>
      <c r="D23" s="121">
        <f>ROUNDUP(205920*1.04,0)</f>
        <v>214157</v>
      </c>
      <c r="E23" s="52">
        <v>0.2</v>
      </c>
      <c r="F23" s="47" t="s">
        <v>17</v>
      </c>
    </row>
    <row r="24" spans="1:6" ht="39" thickBot="1" x14ac:dyDescent="0.3">
      <c r="A24" s="215">
        <v>14</v>
      </c>
      <c r="B24" s="34" t="str">
        <f>CONCATENATE(P1,B23,P4)</f>
        <v>Сертификат активации сервиса прямой технической поддержки уровня "Стандартный" на 1 год для: «Модуль расширения многофункционального комплекса сетевой защиты «Diamond VPN/FW» 4 x GbE SFP with 2 pair Fiber Bypass»</v>
      </c>
      <c r="C24" s="253" t="s">
        <v>347</v>
      </c>
      <c r="D24" s="267">
        <f>ROUNDUP(D23*0.2,0)</f>
        <v>42832</v>
      </c>
      <c r="E24" s="33">
        <v>0.2</v>
      </c>
      <c r="F24" s="234"/>
    </row>
    <row r="25" spans="1:6" ht="39" thickBot="1" x14ac:dyDescent="0.3">
      <c r="A25" s="215">
        <v>15</v>
      </c>
      <c r="B25" s="34" t="str">
        <f>CONCATENATE(P2,B23,P4)</f>
        <v>Сертификат активации сервиса прямой технической поддержки уровня "Стандартный" на 3 года для: «Модуль расширения многофункционального комплекса сетевой защиты «Diamond VPN/FW» 4 x GbE SFP with 2 pair Fiber Bypass»</v>
      </c>
      <c r="C25" s="253" t="s">
        <v>699</v>
      </c>
      <c r="D25" s="266">
        <f>ROUNDUP(D24*0.97*3,0)</f>
        <v>124642</v>
      </c>
      <c r="E25" s="33">
        <v>0.2</v>
      </c>
      <c r="F25" s="234"/>
    </row>
    <row r="26" spans="1:6" ht="39" thickBot="1" x14ac:dyDescent="0.3">
      <c r="A26" s="215">
        <v>16</v>
      </c>
      <c r="B26" s="34" t="str">
        <f>CONCATENATE(P3,B23,P4)</f>
        <v>Сертификат активации сервиса прямой технической поддержки уровня "Стандартный" на 5 лет для: «Модуль расширения многофункционального комплекса сетевой защиты «Diamond VPN/FW» 4 x GbE SFP with 2 pair Fiber Bypass»</v>
      </c>
      <c r="C26" s="253" t="s">
        <v>700</v>
      </c>
      <c r="D26" s="266">
        <f>ROUNDUP(D24*0.95*5,0)</f>
        <v>203452</v>
      </c>
      <c r="E26" s="33">
        <v>0.2</v>
      </c>
      <c r="F26" s="234"/>
    </row>
    <row r="27" spans="1:6" ht="26.25" customHeight="1" thickBot="1" x14ac:dyDescent="0.3">
      <c r="A27" s="215">
        <v>17</v>
      </c>
      <c r="B27" s="42" t="s">
        <v>950</v>
      </c>
      <c r="C27" s="43" t="s">
        <v>330</v>
      </c>
      <c r="D27" s="121">
        <f>ROUNDUP(75350*1.04,0)</f>
        <v>78364</v>
      </c>
      <c r="E27" s="52">
        <v>0.2</v>
      </c>
      <c r="F27" s="47" t="s">
        <v>18</v>
      </c>
    </row>
    <row r="28" spans="1:6" ht="26.25" thickBot="1" x14ac:dyDescent="0.3">
      <c r="A28" s="215">
        <v>18</v>
      </c>
      <c r="B28" s="34" t="str">
        <f>CONCATENATE(P1,B27,P4)</f>
        <v>Сертификат активации сервиса прямой технической поддержки уровня "Стандартный" на 1 год для: «Модуль расширения многофункционального комплекса сетевой защиты «Diamond VPN/FW» 2 x 10G RJ45 »</v>
      </c>
      <c r="C28" s="253" t="s">
        <v>348</v>
      </c>
      <c r="D28" s="267">
        <f>ROUNDUP(D27*0.2,0)</f>
        <v>15673</v>
      </c>
      <c r="E28" s="33">
        <v>0.2</v>
      </c>
      <c r="F28" s="234"/>
    </row>
    <row r="29" spans="1:6" ht="26.25" thickBot="1" x14ac:dyDescent="0.3">
      <c r="A29" s="215">
        <v>19</v>
      </c>
      <c r="B29" s="34" t="str">
        <f>CONCATENATE(P2,B27,P4)</f>
        <v>Сертификат активации сервиса прямой технической поддержки уровня "Стандартный" на 3 года для: «Модуль расширения многофункционального комплекса сетевой защиты «Diamond VPN/FW» 2 x 10G RJ45 »</v>
      </c>
      <c r="C29" s="253" t="s">
        <v>701</v>
      </c>
      <c r="D29" s="266">
        <f>ROUNDUP(D28*0.97*3,0)</f>
        <v>45609</v>
      </c>
      <c r="E29" s="33">
        <v>0.2</v>
      </c>
      <c r="F29" s="234"/>
    </row>
    <row r="30" spans="1:6" ht="26.25" thickBot="1" x14ac:dyDescent="0.3">
      <c r="A30" s="215">
        <v>20</v>
      </c>
      <c r="B30" s="34" t="str">
        <f>CONCATENATE(P3,B27,P4)</f>
        <v>Сертификат активации сервиса прямой технической поддержки уровня "Стандартный" на 5 лет для: «Модуль расширения многофункционального комплекса сетевой защиты «Diamond VPN/FW» 2 x 10G RJ45 »</v>
      </c>
      <c r="C30" s="253" t="s">
        <v>702</v>
      </c>
      <c r="D30" s="266">
        <f>ROUNDUP(D28*0.95*5,0)</f>
        <v>74447</v>
      </c>
      <c r="E30" s="33">
        <v>0.2</v>
      </c>
      <c r="F30" s="234"/>
    </row>
    <row r="31" spans="1:6" ht="26.25" customHeight="1" thickBot="1" x14ac:dyDescent="0.3">
      <c r="A31" s="215">
        <v>21</v>
      </c>
      <c r="B31" s="42" t="s">
        <v>951</v>
      </c>
      <c r="C31" s="43" t="s">
        <v>329</v>
      </c>
      <c r="D31" s="121">
        <f>ROUNDUP(78540*1.04,0)</f>
        <v>81682</v>
      </c>
      <c r="E31" s="52">
        <v>0.2</v>
      </c>
      <c r="F31" s="47" t="s">
        <v>19</v>
      </c>
    </row>
    <row r="32" spans="1:6" ht="26.25" thickBot="1" x14ac:dyDescent="0.3">
      <c r="A32" s="215">
        <v>22</v>
      </c>
      <c r="B32" s="34" t="str">
        <f>CONCATENATE(P1,B31,P4)</f>
        <v>Сертификат активации сервиса прямой технической поддержки уровня "Стандартный" на 1 год для: «Модуль расширения многофункционального комплекса сетевой защиты «Diamond VPN/FW» 2 x 10G RJ45 with 1 pair Bypass»</v>
      </c>
      <c r="C32" s="253" t="s">
        <v>349</v>
      </c>
      <c r="D32" s="267">
        <f>ROUNDUP(D31*0.2,0)</f>
        <v>16337</v>
      </c>
      <c r="E32" s="33">
        <v>0.2</v>
      </c>
      <c r="F32" s="234"/>
    </row>
    <row r="33" spans="1:6" ht="26.25" thickBot="1" x14ac:dyDescent="0.3">
      <c r="A33" s="215">
        <v>23</v>
      </c>
      <c r="B33" s="34" t="str">
        <f>CONCATENATE(P2,B31,P4)</f>
        <v>Сертификат активации сервиса прямой технической поддержки уровня "Стандартный" на 3 года для: «Модуль расширения многофункционального комплекса сетевой защиты «Diamond VPN/FW» 2 x 10G RJ45 with 1 pair Bypass»</v>
      </c>
      <c r="C33" s="253" t="s">
        <v>703</v>
      </c>
      <c r="D33" s="266">
        <f>ROUNDUP(D32*0.97*3,0)</f>
        <v>47541</v>
      </c>
      <c r="E33" s="33">
        <v>0.2</v>
      </c>
      <c r="F33" s="234"/>
    </row>
    <row r="34" spans="1:6" ht="26.25" thickBot="1" x14ac:dyDescent="0.3">
      <c r="A34" s="215">
        <v>24</v>
      </c>
      <c r="B34" s="34" t="str">
        <f>CONCATENATE(P3,B31,P4)</f>
        <v>Сертификат активации сервиса прямой технической поддержки уровня "Стандартный" на 5 лет для: «Модуль расширения многофункционального комплекса сетевой защиты «Diamond VPN/FW» 2 x 10G RJ45 with 1 pair Bypass»</v>
      </c>
      <c r="C34" s="253" t="s">
        <v>704</v>
      </c>
      <c r="D34" s="266">
        <f>ROUNDUP(D32*0.95*5,0)</f>
        <v>77601</v>
      </c>
      <c r="E34" s="33">
        <v>0.2</v>
      </c>
      <c r="F34" s="234"/>
    </row>
    <row r="35" spans="1:6" ht="26.25" customHeight="1" thickBot="1" x14ac:dyDescent="0.3">
      <c r="A35" s="215">
        <v>25</v>
      </c>
      <c r="B35" s="42" t="s">
        <v>952</v>
      </c>
      <c r="C35" s="43" t="s">
        <v>331</v>
      </c>
      <c r="D35" s="121">
        <f>ROUNDUP(63800*1.04,0)</f>
        <v>66352</v>
      </c>
      <c r="E35" s="52">
        <v>0.2</v>
      </c>
      <c r="F35" s="47" t="s">
        <v>20</v>
      </c>
    </row>
    <row r="36" spans="1:6" ht="26.25" thickBot="1" x14ac:dyDescent="0.3">
      <c r="A36" s="215">
        <v>26</v>
      </c>
      <c r="B36" s="34" t="str">
        <f>CONCATENATE(P1,B35,P4)</f>
        <v>Сертификат активации сервиса прямой технической поддержки уровня "Стандартный" на 1 год для: «Модуль расширения многофункционального комплекса сетевой защиты «Diamond VPN/FW» 2 x 10G SFP+»</v>
      </c>
      <c r="C36" s="253" t="s">
        <v>350</v>
      </c>
      <c r="D36" s="267">
        <f>ROUNDUP(D35*0.2,0)</f>
        <v>13271</v>
      </c>
      <c r="E36" s="33">
        <v>0.2</v>
      </c>
      <c r="F36" s="234"/>
    </row>
    <row r="37" spans="1:6" ht="26.25" thickBot="1" x14ac:dyDescent="0.3">
      <c r="A37" s="215">
        <v>27</v>
      </c>
      <c r="B37" s="34" t="str">
        <f>CONCATENATE(P2,B35,P4)</f>
        <v>Сертификат активации сервиса прямой технической поддержки уровня "Стандартный" на 3 года для: «Модуль расширения многофункционального комплекса сетевой защиты «Diamond VPN/FW» 2 x 10G SFP+»</v>
      </c>
      <c r="C37" s="253" t="s">
        <v>705</v>
      </c>
      <c r="D37" s="266">
        <f>ROUNDUP(D36*0.97*3,0)</f>
        <v>38619</v>
      </c>
      <c r="E37" s="33">
        <v>0.2</v>
      </c>
      <c r="F37" s="234"/>
    </row>
    <row r="38" spans="1:6" ht="26.25" thickBot="1" x14ac:dyDescent="0.3">
      <c r="A38" s="215">
        <v>28</v>
      </c>
      <c r="B38" s="34" t="str">
        <f>CONCATENATE(P3,B35,P4)</f>
        <v>Сертификат активации сервиса прямой технической поддержки уровня "Стандартный" на 5 лет для: «Модуль расширения многофункционального комплекса сетевой защиты «Diamond VPN/FW» 2 x 10G SFP+»</v>
      </c>
      <c r="C38" s="253" t="s">
        <v>706</v>
      </c>
      <c r="D38" s="266">
        <f>ROUNDUP(D36*0.95*5,0)</f>
        <v>63038</v>
      </c>
      <c r="E38" s="33">
        <v>0.2</v>
      </c>
      <c r="F38" s="234"/>
    </row>
    <row r="39" spans="1:6" ht="26.25" customHeight="1" thickBot="1" x14ac:dyDescent="0.3">
      <c r="A39" s="215">
        <v>29</v>
      </c>
      <c r="B39" s="42" t="s">
        <v>953</v>
      </c>
      <c r="C39" s="43" t="s">
        <v>332</v>
      </c>
      <c r="D39" s="121">
        <f>ROUNDUP(141570*1.04,0)</f>
        <v>147233</v>
      </c>
      <c r="E39" s="52">
        <v>0.2</v>
      </c>
      <c r="F39" s="47" t="s">
        <v>21</v>
      </c>
    </row>
    <row r="40" spans="1:6" ht="39" thickBot="1" x14ac:dyDescent="0.3">
      <c r="A40" s="215">
        <v>30</v>
      </c>
      <c r="B40" s="106" t="str">
        <f>CONCATENATE(P1,B39,P4)</f>
        <v>Сертификат активации сервиса прямой технической поддержки уровня "Стандартный" на 1 год для: «Модуль расширения многофункционального комплекса сетевой защиты «Diamond VPN/FW»  2 x 10G SFP+ with 1 pair Fiber Bypass»</v>
      </c>
      <c r="C40" s="253" t="s">
        <v>351</v>
      </c>
      <c r="D40" s="267">
        <f>ROUNDUP(D39*0.2,0)</f>
        <v>29447</v>
      </c>
      <c r="E40" s="33">
        <v>0.2</v>
      </c>
      <c r="F40" s="244"/>
    </row>
    <row r="41" spans="1:6" ht="39" thickBot="1" x14ac:dyDescent="0.3">
      <c r="A41" s="215">
        <v>31</v>
      </c>
      <c r="B41" s="106" t="str">
        <f>CONCATENATE(P2,B39,P4)</f>
        <v>Сертификат активации сервиса прямой технической поддержки уровня "Стандартный" на 3 года для: «Модуль расширения многофункционального комплекса сетевой защиты «Diamond VPN/FW»  2 x 10G SFP+ with 1 pair Fiber Bypass»</v>
      </c>
      <c r="C41" s="253" t="s">
        <v>707</v>
      </c>
      <c r="D41" s="267">
        <f>ROUNDUP(D40*0.97*3,0)</f>
        <v>85691</v>
      </c>
      <c r="E41" s="33">
        <v>0.2</v>
      </c>
      <c r="F41" s="244"/>
    </row>
    <row r="42" spans="1:6" ht="39" thickBot="1" x14ac:dyDescent="0.3">
      <c r="A42" s="215">
        <v>32</v>
      </c>
      <c r="B42" s="106" t="str">
        <f>CONCATENATE(P3,B39,P4)</f>
        <v>Сертификат активации сервиса прямой технической поддержки уровня "Стандартный" на 5 лет для: «Модуль расширения многофункционального комплекса сетевой защиты «Diamond VPN/FW»  2 x 10G SFP+ with 1 pair Fiber Bypass»</v>
      </c>
      <c r="C42" s="253" t="s">
        <v>708</v>
      </c>
      <c r="D42" s="266">
        <f>ROUNDUP(D40*0.95*5,0)</f>
        <v>139874</v>
      </c>
      <c r="E42" s="33">
        <v>0.2</v>
      </c>
      <c r="F42" s="244"/>
    </row>
    <row r="43" spans="1:6" ht="26.25" customHeight="1" thickBot="1" x14ac:dyDescent="0.3">
      <c r="A43" s="215">
        <v>33</v>
      </c>
      <c r="B43" s="137" t="s">
        <v>954</v>
      </c>
      <c r="C43" s="43" t="s">
        <v>333</v>
      </c>
      <c r="D43" s="263">
        <f>ROUNDUP(116490*1.04,0)</f>
        <v>121150</v>
      </c>
      <c r="E43" s="52">
        <v>0.2</v>
      </c>
      <c r="F43" s="138" t="s">
        <v>22</v>
      </c>
    </row>
    <row r="44" spans="1:6" ht="26.25" thickBot="1" x14ac:dyDescent="0.3">
      <c r="A44" s="215">
        <v>34</v>
      </c>
      <c r="B44" s="106" t="str">
        <f>CONCATENATE(P1,B43,P4)</f>
        <v>Сертификат активации сервиса прямой технической поддержки уровня "Стандартный" на 1 год для: «Модуль расширения многофункционального комплекса сетевой защиты «Diamond VPN/FW» 4 x 10G SFP+»</v>
      </c>
      <c r="C44" s="256" t="s">
        <v>352</v>
      </c>
      <c r="D44" s="267">
        <f>ROUNDUP(D43*0.2,0)</f>
        <v>24230</v>
      </c>
      <c r="E44" s="24">
        <v>0.2</v>
      </c>
      <c r="F44" s="244"/>
    </row>
    <row r="45" spans="1:6" ht="26.25" thickBot="1" x14ac:dyDescent="0.3">
      <c r="A45" s="215">
        <v>35</v>
      </c>
      <c r="B45" s="34" t="str">
        <f>CONCATENATE(P2,B43,P4)</f>
        <v>Сертификат активации сервиса прямой технической поддержки уровня "Стандартный" на 3 года для: «Модуль расширения многофункционального комплекса сетевой защиты «Diamond VPN/FW» 4 x 10G SFP+»</v>
      </c>
      <c r="C45" s="256" t="s">
        <v>709</v>
      </c>
      <c r="D45" s="267">
        <f>ROUNDUP(D44*0.97*3,0)</f>
        <v>70510</v>
      </c>
      <c r="E45" s="24">
        <v>0.2</v>
      </c>
      <c r="F45" s="234"/>
    </row>
    <row r="46" spans="1:6" ht="26.25" thickBot="1" x14ac:dyDescent="0.3">
      <c r="A46" s="215">
        <v>36</v>
      </c>
      <c r="B46" s="106" t="str">
        <f>CONCATENATE(P3,B43,P4)</f>
        <v>Сертификат активации сервиса прямой технической поддержки уровня "Стандартный" на 5 лет для: «Модуль расширения многофункционального комплекса сетевой защиты «Diamond VPN/FW» 4 x 10G SFP+»</v>
      </c>
      <c r="C46" s="269" t="s">
        <v>710</v>
      </c>
      <c r="D46" s="266">
        <f>ROUNDUP(D44*0.95*5,0)</f>
        <v>115093</v>
      </c>
      <c r="E46" s="190">
        <v>0.2</v>
      </c>
      <c r="F46" s="244"/>
    </row>
    <row r="47" spans="1:6" ht="26.25" customHeight="1" thickBot="1" x14ac:dyDescent="0.3">
      <c r="A47" s="215">
        <v>37</v>
      </c>
      <c r="B47" s="42" t="s">
        <v>955</v>
      </c>
      <c r="C47" s="43" t="s">
        <v>760</v>
      </c>
      <c r="D47" s="121">
        <v>1000</v>
      </c>
      <c r="E47" s="297">
        <v>0.2</v>
      </c>
      <c r="F47" s="138"/>
    </row>
    <row r="48" spans="1:6" ht="26.25" thickBot="1" x14ac:dyDescent="0.3">
      <c r="A48" s="215">
        <v>38</v>
      </c>
      <c r="B48" s="106" t="str">
        <f>CONCATENATE(P1,B47,P4)</f>
        <v>Сертификат активации сервиса прямой технической поддержки уровня "Стандартный" на 1 год для: «Модуль расширения многофункционального комплекса сетевой защиты «Diamond VPN/FW» 5 серии port VGA»</v>
      </c>
      <c r="C48" s="256" t="s">
        <v>757</v>
      </c>
      <c r="D48" s="267">
        <f>D47*0.2</f>
        <v>200</v>
      </c>
      <c r="E48" s="24">
        <v>0.2</v>
      </c>
      <c r="F48" s="244"/>
    </row>
    <row r="49" spans="1:6" ht="26.25" thickBot="1" x14ac:dyDescent="0.3">
      <c r="A49" s="215">
        <v>39</v>
      </c>
      <c r="B49" s="34" t="str">
        <f>CONCATENATE(P2,B47,P4)</f>
        <v>Сертификат активации сервиса прямой технической поддержки уровня "Стандартный" на 3 года для: «Модуль расширения многофункционального комплекса сетевой защиты «Diamond VPN/FW» 5 серии port VGA»</v>
      </c>
      <c r="C49" s="256" t="s">
        <v>758</v>
      </c>
      <c r="D49" s="267">
        <f>ROUNDUP(D48*0.97*3,0)</f>
        <v>582</v>
      </c>
      <c r="E49" s="24">
        <v>0.2</v>
      </c>
      <c r="F49" s="244"/>
    </row>
    <row r="50" spans="1:6" ht="26.25" thickBot="1" x14ac:dyDescent="0.3">
      <c r="A50" s="215">
        <v>40</v>
      </c>
      <c r="B50" s="257" t="str">
        <f>CONCATENATE(P3,B47,P4)</f>
        <v>Сертификат активации сервиса прямой технической поддержки уровня "Стандартный" на 5 лет для: «Модуль расширения многофункционального комплекса сетевой защиты «Diamond VPN/FW» 5 серии port VGA»</v>
      </c>
      <c r="C50" s="268" t="s">
        <v>759</v>
      </c>
      <c r="D50" s="266">
        <f>ROUNDUP(D48*0.95*5,0)</f>
        <v>950</v>
      </c>
      <c r="E50" s="32">
        <v>0.2</v>
      </c>
      <c r="F50" s="246"/>
    </row>
    <row r="51" spans="1:6" ht="26.25" customHeight="1" thickBot="1" x14ac:dyDescent="0.3">
      <c r="A51" s="70"/>
      <c r="B51" s="15" t="s">
        <v>956</v>
      </c>
      <c r="C51" s="16"/>
      <c r="D51" s="113"/>
      <c r="E51" s="17"/>
      <c r="F51" s="18"/>
    </row>
    <row r="52" spans="1:6" ht="26.25" customHeight="1" thickBot="1" x14ac:dyDescent="0.3">
      <c r="A52" s="215">
        <v>41</v>
      </c>
      <c r="B52" s="58" t="s">
        <v>957</v>
      </c>
      <c r="C52" s="49" t="s">
        <v>334</v>
      </c>
      <c r="D52" s="124">
        <f>ROUNDUP(70180*1.04,0)</f>
        <v>72988</v>
      </c>
      <c r="E52" s="52">
        <v>0.2</v>
      </c>
      <c r="F52" s="53" t="s">
        <v>23</v>
      </c>
    </row>
    <row r="53" spans="1:6" ht="26.25" thickBot="1" x14ac:dyDescent="0.3">
      <c r="A53" s="215">
        <v>42</v>
      </c>
      <c r="B53" s="265" t="str">
        <f>CONCATENATE(P1,B52,P4)</f>
        <v>Сертификат активации сервиса прямой технической поддержки уровня "Стандартный" на 1 год для: «Модуль расширения многофункционального комплекса сетевой защиты «Diamond VPN/FW 6, 7 серия»  8 x GbE RJ45»</v>
      </c>
      <c r="C53" s="253" t="s">
        <v>369</v>
      </c>
      <c r="D53" s="266">
        <f>ROUNDUP(D52*0.2,0)</f>
        <v>14598</v>
      </c>
      <c r="E53" s="33">
        <v>0.2</v>
      </c>
      <c r="F53" s="232"/>
    </row>
    <row r="54" spans="1:6" ht="26.25" thickBot="1" x14ac:dyDescent="0.3">
      <c r="A54" s="215">
        <v>43</v>
      </c>
      <c r="B54" s="265" t="str">
        <f>CONCATENATE(P2,B52,P4)</f>
        <v>Сертификат активации сервиса прямой технической поддержки уровня "Стандартный" на 3 года для: «Модуль расширения многофункционального комплекса сетевой защиты «Diamond VPN/FW 6, 7 серия»  8 x GbE RJ45»</v>
      </c>
      <c r="C54" s="253" t="s">
        <v>711</v>
      </c>
      <c r="D54" s="266">
        <f>ROUNDUP(D53*0.97*3,0)</f>
        <v>42481</v>
      </c>
      <c r="E54" s="33">
        <v>0.2</v>
      </c>
      <c r="F54" s="232"/>
    </row>
    <row r="55" spans="1:6" ht="26.25" thickBot="1" x14ac:dyDescent="0.3">
      <c r="A55" s="215">
        <v>44</v>
      </c>
      <c r="B55" s="265" t="str">
        <f>CONCATENATE(P3,B52,P4)</f>
        <v>Сертификат активации сервиса прямой технической поддержки уровня "Стандартный" на 5 лет для: «Модуль расширения многофункционального комплекса сетевой защиты «Diamond VPN/FW 6, 7 серия»  8 x GbE RJ45»</v>
      </c>
      <c r="C55" s="253" t="s">
        <v>712</v>
      </c>
      <c r="D55" s="266">
        <f>ROUNDUP(D53*0.95*5,0)</f>
        <v>69341</v>
      </c>
      <c r="E55" s="33">
        <v>0.2</v>
      </c>
      <c r="F55" s="232"/>
    </row>
    <row r="56" spans="1:6" ht="26.25" customHeight="1" thickBot="1" x14ac:dyDescent="0.3">
      <c r="A56" s="215">
        <v>45</v>
      </c>
      <c r="B56" s="42" t="s">
        <v>958</v>
      </c>
      <c r="C56" s="43" t="s">
        <v>335</v>
      </c>
      <c r="D56" s="121">
        <f>ROUNDUP(79200*1.04,0)</f>
        <v>82368</v>
      </c>
      <c r="E56" s="52">
        <v>0.2</v>
      </c>
      <c r="F56" s="47" t="s">
        <v>24</v>
      </c>
    </row>
    <row r="57" spans="1:6" ht="40.5" customHeight="1" thickBot="1" x14ac:dyDescent="0.3">
      <c r="A57" s="215">
        <v>46</v>
      </c>
      <c r="B57" s="34" t="str">
        <f>CONCATENATE(P1,B56,P4)</f>
        <v>Сертификат активации сервиса прямой технической поддержки уровня "Стандартный" на 1 год для: «Модуль расширения многофункционального комплекса сетевой защиты «Diamond VPN/FW 6, 7 серия» 8 x GbE RJ45 with 4 pair Bypass»</v>
      </c>
      <c r="C57" s="256" t="s">
        <v>370</v>
      </c>
      <c r="D57" s="267">
        <f>ROUNDUP(D56*0.2,0)</f>
        <v>16474</v>
      </c>
      <c r="E57" s="33">
        <v>0.2</v>
      </c>
      <c r="F57" s="234"/>
    </row>
    <row r="58" spans="1:6" ht="41.25" customHeight="1" thickBot="1" x14ac:dyDescent="0.3">
      <c r="A58" s="215">
        <v>47</v>
      </c>
      <c r="B58" s="34" t="str">
        <f>CONCATENATE(P2,B56,P4)</f>
        <v>Сертификат активации сервиса прямой технической поддержки уровня "Стандартный" на 3 года для: «Модуль расширения многофункционального комплекса сетевой защиты «Diamond VPN/FW 6, 7 серия» 8 x GbE RJ45 with 4 pair Bypass»</v>
      </c>
      <c r="C58" s="256" t="s">
        <v>713</v>
      </c>
      <c r="D58" s="266">
        <f>ROUNDUP(D57*0.97*3,0)</f>
        <v>47940</v>
      </c>
      <c r="E58" s="33">
        <v>0.2</v>
      </c>
      <c r="F58" s="234"/>
    </row>
    <row r="59" spans="1:6" ht="30.75" customHeight="1" thickBot="1" x14ac:dyDescent="0.3">
      <c r="A59" s="215">
        <v>48</v>
      </c>
      <c r="B59" s="34" t="str">
        <f>CONCATENATE(P3,B56,P4)</f>
        <v>Сертификат активации сервиса прямой технической поддержки уровня "Стандартный" на 5 лет для: «Модуль расширения многофункционального комплекса сетевой защиты «Diamond VPN/FW 6, 7 серия» 8 x GbE RJ45 with 4 pair Bypass»</v>
      </c>
      <c r="C59" s="256" t="s">
        <v>714</v>
      </c>
      <c r="D59" s="266">
        <f>ROUNDUP(D57*0.95*5,0)</f>
        <v>78252</v>
      </c>
      <c r="E59" s="33">
        <v>0.2</v>
      </c>
      <c r="F59" s="234"/>
    </row>
    <row r="60" spans="1:6" ht="26.25" customHeight="1" thickBot="1" x14ac:dyDescent="0.3">
      <c r="A60" s="215">
        <v>49</v>
      </c>
      <c r="B60" s="42" t="s">
        <v>959</v>
      </c>
      <c r="C60" s="43" t="s">
        <v>336</v>
      </c>
      <c r="D60" s="121">
        <f>ROUNDUP(219450*1.04,0)</f>
        <v>228228</v>
      </c>
      <c r="E60" s="52">
        <v>0.2</v>
      </c>
      <c r="F60" s="47" t="s">
        <v>25</v>
      </c>
    </row>
    <row r="61" spans="1:6" ht="26.25" thickBot="1" x14ac:dyDescent="0.3">
      <c r="A61" s="215">
        <v>50</v>
      </c>
      <c r="B61" s="106" t="str">
        <f>CONCATENATE(P1,B60,P4)</f>
        <v>Сертификат активации сервиса прямой технической поддержки уровня "Стандартный" на 1 год для: «Модуль расширения многофункционального комплекса сетевой защиты «Diamond VPN/FW 6, 7 серия» 2 x 40G QSFP+»</v>
      </c>
      <c r="C61" s="269" t="s">
        <v>371</v>
      </c>
      <c r="D61" s="267">
        <f>ROUNDUP(D60*0.2,0)</f>
        <v>45646</v>
      </c>
      <c r="E61" s="33">
        <v>0.2</v>
      </c>
      <c r="F61" s="244"/>
    </row>
    <row r="62" spans="1:6" ht="26.25" thickBot="1" x14ac:dyDescent="0.3">
      <c r="A62" s="215">
        <v>51</v>
      </c>
      <c r="B62" s="106" t="str">
        <f>CONCATENATE(P2,B60,P4)</f>
        <v>Сертификат активации сервиса прямой технической поддержки уровня "Стандартный" на 3 года для: «Модуль расширения многофункционального комплекса сетевой защиты «Diamond VPN/FW 6, 7 серия» 2 x 40G QSFP+»</v>
      </c>
      <c r="C62" s="269" t="s">
        <v>715</v>
      </c>
      <c r="D62" s="267">
        <f>ROUNDUP(D61*0.97*3,0)</f>
        <v>132830</v>
      </c>
      <c r="E62" s="33">
        <v>0.2</v>
      </c>
      <c r="F62" s="244"/>
    </row>
    <row r="63" spans="1:6" ht="26.25" thickBot="1" x14ac:dyDescent="0.3">
      <c r="A63" s="215">
        <v>52</v>
      </c>
      <c r="B63" s="106" t="str">
        <f>CONCATENATE(P3,B60,P4)</f>
        <v>Сертификат активации сервиса прямой технической поддержки уровня "Стандартный" на 5 лет для: «Модуль расширения многофункционального комплекса сетевой защиты «Diamond VPN/FW 6, 7 серия» 2 x 40G QSFP+»</v>
      </c>
      <c r="C63" s="269" t="s">
        <v>716</v>
      </c>
      <c r="D63" s="266">
        <f>ROUNDUP(D61*0.95*5,0)</f>
        <v>216819</v>
      </c>
      <c r="E63" s="33">
        <v>0.2</v>
      </c>
      <c r="F63" s="244"/>
    </row>
    <row r="64" spans="1:6" ht="26.25" customHeight="1" thickBot="1" x14ac:dyDescent="0.3">
      <c r="A64" s="215">
        <v>53</v>
      </c>
      <c r="B64" s="137" t="s">
        <v>960</v>
      </c>
      <c r="C64" s="139" t="s">
        <v>337</v>
      </c>
      <c r="D64" s="263">
        <f>ROUNDUP(67650*1.04,0)</f>
        <v>70356</v>
      </c>
      <c r="E64" s="52">
        <v>0.2</v>
      </c>
      <c r="F64" s="138" t="s">
        <v>26</v>
      </c>
    </row>
    <row r="65" spans="1:6" ht="26.25" thickBot="1" x14ac:dyDescent="0.3">
      <c r="A65" s="215">
        <v>54</v>
      </c>
      <c r="B65" s="106" t="str">
        <f>CONCATENATE(P1,B64,P4)</f>
        <v>Сертификат активации сервиса прямой технической поддержки уровня "Стандартный" на 1 год для: «Модуль расширения многофункционального комплекса сетевой защиты «Diamond VPN/FW 6, 7 серия» 8 x GbE SFP»</v>
      </c>
      <c r="C65" s="269" t="s">
        <v>372</v>
      </c>
      <c r="D65" s="267">
        <f>ROUNDUP(D64*0.2,0)</f>
        <v>14072</v>
      </c>
      <c r="E65" s="24">
        <v>0.2</v>
      </c>
      <c r="F65" s="244"/>
    </row>
    <row r="66" spans="1:6" ht="26.25" thickBot="1" x14ac:dyDescent="0.3">
      <c r="A66" s="215">
        <v>55</v>
      </c>
      <c r="B66" s="106" t="str">
        <f>CONCATENATE(P2,B64,P4)</f>
        <v>Сертификат активации сервиса прямой технической поддержки уровня "Стандартный" на 3 года для: «Модуль расширения многофункционального комплекса сетевой защиты «Diamond VPN/FW 6, 7 серия» 8 x GbE SFP»</v>
      </c>
      <c r="C66" s="269" t="s">
        <v>717</v>
      </c>
      <c r="D66" s="267">
        <f>ROUNDUP(D65*0.97*3,0)</f>
        <v>40950</v>
      </c>
      <c r="E66" s="24">
        <v>0.2</v>
      </c>
      <c r="F66" s="234"/>
    </row>
    <row r="67" spans="1:6" ht="26.25" thickBot="1" x14ac:dyDescent="0.3">
      <c r="A67" s="215">
        <v>56</v>
      </c>
      <c r="B67" s="106" t="str">
        <f>CONCATENATE(P3,B64,P4)</f>
        <v>Сертификат активации сервиса прямой технической поддержки уровня "Стандартный" на 5 лет для: «Модуль расширения многофункционального комплекса сетевой защиты «Diamond VPN/FW 6, 7 серия» 8 x GbE SFP»</v>
      </c>
      <c r="C67" s="269" t="s">
        <v>718</v>
      </c>
      <c r="D67" s="266">
        <f>ROUNDUP(D65*0.95*5,0)</f>
        <v>66842</v>
      </c>
      <c r="E67" s="32">
        <v>0.2</v>
      </c>
      <c r="F67" s="246"/>
    </row>
    <row r="68" spans="1:6" ht="26.25" customHeight="1" thickBot="1" x14ac:dyDescent="0.3">
      <c r="A68" s="70"/>
      <c r="B68" s="15" t="s">
        <v>963</v>
      </c>
      <c r="C68" s="16"/>
      <c r="D68" s="113"/>
      <c r="E68" s="17"/>
      <c r="F68" s="18"/>
    </row>
    <row r="69" spans="1:6" ht="15.75" thickBot="1" x14ac:dyDescent="0.3">
      <c r="A69" s="215">
        <v>57</v>
      </c>
      <c r="B69" s="167" t="s">
        <v>962</v>
      </c>
      <c r="C69" s="98" t="s">
        <v>338</v>
      </c>
      <c r="D69" s="126">
        <f>ROUNDUP(11440*1.04,0)</f>
        <v>11898</v>
      </c>
      <c r="E69" s="424">
        <v>0.2</v>
      </c>
      <c r="F69" s="390"/>
    </row>
    <row r="70" spans="1:6" ht="15.75" thickBot="1" x14ac:dyDescent="0.3">
      <c r="A70" s="215">
        <v>58</v>
      </c>
      <c r="B70" s="42" t="s">
        <v>1710</v>
      </c>
      <c r="C70" s="43" t="s">
        <v>339</v>
      </c>
      <c r="D70" s="121">
        <f>ROUNDUP(15840*1.04,0)</f>
        <v>16474</v>
      </c>
      <c r="E70" s="52">
        <v>0.2</v>
      </c>
      <c r="F70" s="47"/>
    </row>
    <row r="71" spans="1:6" ht="15.75" thickBot="1" x14ac:dyDescent="0.3">
      <c r="A71" s="215">
        <v>59</v>
      </c>
      <c r="B71" s="42" t="s">
        <v>1711</v>
      </c>
      <c r="C71" s="43" t="s">
        <v>340</v>
      </c>
      <c r="D71" s="121">
        <f>ROUNDUP(15840*1.04,0)</f>
        <v>16474</v>
      </c>
      <c r="E71" s="52">
        <v>0.2</v>
      </c>
      <c r="F71" s="47"/>
    </row>
    <row r="72" spans="1:6" ht="15.75" thickBot="1" x14ac:dyDescent="0.3">
      <c r="A72" s="215">
        <v>60</v>
      </c>
      <c r="B72" s="42" t="s">
        <v>27</v>
      </c>
      <c r="C72" s="43" t="s">
        <v>341</v>
      </c>
      <c r="D72" s="121">
        <f>ROUNDUP(4380*1.04,0)</f>
        <v>4556</v>
      </c>
      <c r="E72" s="52">
        <v>0.2</v>
      </c>
      <c r="F72" s="47" t="s">
        <v>28</v>
      </c>
    </row>
    <row r="73" spans="1:6" ht="15.75" thickBot="1" x14ac:dyDescent="0.3">
      <c r="A73" s="215">
        <v>61</v>
      </c>
      <c r="B73" s="42" t="s">
        <v>29</v>
      </c>
      <c r="C73" s="43" t="s">
        <v>342</v>
      </c>
      <c r="D73" s="121">
        <f>ROUNDUP(8370*1.04,0)</f>
        <v>8705</v>
      </c>
      <c r="E73" s="52">
        <v>0.2</v>
      </c>
      <c r="F73" s="47" t="s">
        <v>30</v>
      </c>
    </row>
    <row r="74" spans="1:6" ht="15.75" thickBot="1" x14ac:dyDescent="0.3">
      <c r="A74" s="215">
        <v>62</v>
      </c>
      <c r="B74" s="137" t="s">
        <v>31</v>
      </c>
      <c r="C74" s="139" t="s">
        <v>343</v>
      </c>
      <c r="D74" s="263">
        <f>ROUNDUP(53420*1.04,0)</f>
        <v>55557</v>
      </c>
      <c r="E74" s="52">
        <v>0.2</v>
      </c>
      <c r="F74" s="138" t="s">
        <v>32</v>
      </c>
    </row>
    <row r="75" spans="1:6" ht="15.75" thickBot="1" x14ac:dyDescent="0.3">
      <c r="A75" s="215">
        <v>63</v>
      </c>
      <c r="B75" s="42" t="s">
        <v>1712</v>
      </c>
      <c r="C75" s="139" t="s">
        <v>756</v>
      </c>
      <c r="D75" s="263">
        <v>3900</v>
      </c>
      <c r="E75" s="423">
        <v>0.2</v>
      </c>
      <c r="F75" s="138"/>
    </row>
    <row r="76" spans="1:6" ht="25.5" customHeight="1" thickBot="1" x14ac:dyDescent="0.3">
      <c r="A76" s="215">
        <v>64</v>
      </c>
      <c r="B76" s="137" t="s">
        <v>1676</v>
      </c>
      <c r="C76" s="139" t="s">
        <v>926</v>
      </c>
      <c r="D76" s="263">
        <v>20000</v>
      </c>
      <c r="E76" s="297">
        <v>0.2</v>
      </c>
      <c r="F76" s="47" t="s">
        <v>925</v>
      </c>
    </row>
    <row r="77" spans="1:6" ht="15.75" thickBot="1" x14ac:dyDescent="0.3">
      <c r="A77" s="215">
        <v>65</v>
      </c>
      <c r="B77" s="137" t="s">
        <v>924</v>
      </c>
      <c r="C77" s="139" t="s">
        <v>926</v>
      </c>
      <c r="D77" s="263">
        <v>20000</v>
      </c>
      <c r="E77" s="52">
        <v>0.2</v>
      </c>
      <c r="F77" s="47" t="s">
        <v>924</v>
      </c>
    </row>
    <row r="78" spans="1:6" ht="15.75" thickBot="1" x14ac:dyDescent="0.3">
      <c r="A78" s="215">
        <v>66</v>
      </c>
      <c r="B78" s="137" t="s">
        <v>1678</v>
      </c>
      <c r="C78" s="139" t="s">
        <v>926</v>
      </c>
      <c r="D78" s="263">
        <v>1200</v>
      </c>
      <c r="E78" s="52">
        <v>0.2</v>
      </c>
      <c r="F78" s="47"/>
    </row>
    <row r="79" spans="1:6" ht="26.25" thickBot="1" x14ac:dyDescent="0.3">
      <c r="A79" s="215">
        <v>67</v>
      </c>
      <c r="B79" s="137" t="s">
        <v>1713</v>
      </c>
      <c r="C79" s="139" t="s">
        <v>1714</v>
      </c>
      <c r="D79" s="263">
        <v>98650</v>
      </c>
      <c r="E79" s="52">
        <v>0.2</v>
      </c>
      <c r="F79" s="47" t="s">
        <v>1720</v>
      </c>
    </row>
    <row r="80" spans="1:6" ht="39" thickBot="1" x14ac:dyDescent="0.3">
      <c r="A80" s="215">
        <v>68</v>
      </c>
      <c r="B80" s="106" t="str">
        <f>CONCATENATE(P1,B79)</f>
        <v>Сертификат активации сервиса прямой технической поддержки уровня "Стандартный" на 1 год для: «Автоматизированное рабочее место для средства криптографической защиты информации «Dcrypt 1.0 v.2» с назначением «КриптоАРМ»</v>
      </c>
      <c r="C80" s="269" t="s">
        <v>1715</v>
      </c>
      <c r="D80" s="267">
        <f>ROUNDUP(D79*0.2,0)</f>
        <v>19730</v>
      </c>
      <c r="E80" s="24">
        <v>0.2</v>
      </c>
      <c r="F80" s="244"/>
    </row>
    <row r="81" spans="1:6" ht="39" thickBot="1" x14ac:dyDescent="0.3">
      <c r="A81" s="215">
        <v>69</v>
      </c>
      <c r="B81" s="106" t="str">
        <f>CONCATENATE(P2,B79)</f>
        <v>Сертификат активации сервиса прямой технической поддержки уровня "Стандартный" на 3 года для: «Автоматизированное рабочее место для средства криптографической защиты информации «Dcrypt 1.0 v.2» с назначением «КриптоАРМ»</v>
      </c>
      <c r="C81" s="269" t="s">
        <v>1716</v>
      </c>
      <c r="D81" s="267">
        <f>ROUNDUP(D80*0.97*3,0)</f>
        <v>57415</v>
      </c>
      <c r="E81" s="24">
        <v>0.2</v>
      </c>
      <c r="F81" s="234"/>
    </row>
    <row r="82" spans="1:6" ht="39" thickBot="1" x14ac:dyDescent="0.3">
      <c r="A82" s="215">
        <v>70</v>
      </c>
      <c r="B82" s="106" t="str">
        <f>CONCATENATE(P3,B79)</f>
        <v>Сертификат активации сервиса прямой технической поддержки уровня "Стандартный" на 5 лет для: «Автоматизированное рабочее место для средства криптографической защиты информации «Dcrypt 1.0 v.2» с назначением «КриптоАРМ»</v>
      </c>
      <c r="C82" s="269" t="s">
        <v>1717</v>
      </c>
      <c r="D82" s="266">
        <f>ROUNDUP(D80*0.95*5,0)</f>
        <v>93718</v>
      </c>
      <c r="E82" s="188">
        <v>0.2</v>
      </c>
      <c r="F82" s="244"/>
    </row>
    <row r="83" spans="1:6" ht="26.25" thickBot="1" x14ac:dyDescent="0.3">
      <c r="A83" s="215">
        <v>71</v>
      </c>
      <c r="B83" s="137" t="s">
        <v>1722</v>
      </c>
      <c r="C83" s="139" t="s">
        <v>1718</v>
      </c>
      <c r="D83" s="263">
        <v>22600</v>
      </c>
      <c r="E83" s="52">
        <v>0.2</v>
      </c>
      <c r="F83" s="47" t="s">
        <v>1719</v>
      </c>
    </row>
    <row r="84" spans="1:6" ht="72.95" customHeight="1" thickBot="1" x14ac:dyDescent="0.3">
      <c r="A84" s="70"/>
      <c r="B84" s="15" t="s">
        <v>829</v>
      </c>
      <c r="C84" s="16"/>
      <c r="D84" s="17"/>
      <c r="E84" s="17"/>
      <c r="F84" s="18" t="s">
        <v>1046</v>
      </c>
    </row>
    <row r="85" spans="1:6" ht="83.1" customHeight="1" thickBot="1" x14ac:dyDescent="0.3">
      <c r="A85" s="215">
        <v>72</v>
      </c>
      <c r="B85" s="291" t="s">
        <v>1432</v>
      </c>
      <c r="C85" s="174" t="s">
        <v>373</v>
      </c>
      <c r="D85" s="83">
        <v>0.2</v>
      </c>
      <c r="E85" s="110">
        <v>0.2</v>
      </c>
      <c r="F85" s="105" t="s">
        <v>1048</v>
      </c>
    </row>
    <row r="86" spans="1:6" ht="105" customHeight="1" thickBot="1" x14ac:dyDescent="0.3">
      <c r="A86" s="215">
        <v>73</v>
      </c>
      <c r="B86" s="213" t="s">
        <v>1433</v>
      </c>
      <c r="C86" s="174" t="s">
        <v>687</v>
      </c>
      <c r="D86" s="83">
        <v>0.2</v>
      </c>
      <c r="E86" s="110">
        <v>0.2</v>
      </c>
      <c r="F86" s="6" t="s">
        <v>1038</v>
      </c>
    </row>
    <row r="87" spans="1:6" ht="83.1" customHeight="1" thickBot="1" x14ac:dyDescent="0.3">
      <c r="A87" s="215">
        <v>74</v>
      </c>
      <c r="B87" s="290" t="s">
        <v>1434</v>
      </c>
      <c r="C87" s="174" t="s">
        <v>688</v>
      </c>
      <c r="D87" s="83">
        <v>0.2</v>
      </c>
      <c r="E87" s="110">
        <v>0.2</v>
      </c>
      <c r="F87" s="6" t="s">
        <v>1721</v>
      </c>
    </row>
    <row r="88" spans="1:6" ht="83.1" customHeight="1" thickBot="1" x14ac:dyDescent="0.3">
      <c r="A88" s="215">
        <v>75</v>
      </c>
      <c r="B88" s="169" t="s">
        <v>1435</v>
      </c>
      <c r="C88" s="174" t="s">
        <v>374</v>
      </c>
      <c r="D88" s="13">
        <v>0.3</v>
      </c>
      <c r="E88" s="110">
        <v>0.2</v>
      </c>
      <c r="F88" s="6" t="s">
        <v>1039</v>
      </c>
    </row>
    <row r="89" spans="1:6" ht="83.1" customHeight="1" thickBot="1" x14ac:dyDescent="0.3">
      <c r="A89" s="215">
        <v>76</v>
      </c>
      <c r="B89" s="169" t="s">
        <v>1436</v>
      </c>
      <c r="C89" s="174" t="s">
        <v>689</v>
      </c>
      <c r="D89" s="13">
        <v>0.3</v>
      </c>
      <c r="E89" s="110">
        <v>0.2</v>
      </c>
      <c r="F89" s="6" t="s">
        <v>1040</v>
      </c>
    </row>
    <row r="90" spans="1:6" ht="83.1" customHeight="1" thickBot="1" x14ac:dyDescent="0.3">
      <c r="A90" s="215">
        <v>77</v>
      </c>
      <c r="B90" s="169" t="s">
        <v>1437</v>
      </c>
      <c r="C90" s="174" t="s">
        <v>690</v>
      </c>
      <c r="D90" s="13">
        <v>0.3</v>
      </c>
      <c r="E90" s="110">
        <v>0.2</v>
      </c>
      <c r="F90" s="6" t="s">
        <v>1041</v>
      </c>
    </row>
    <row r="91" spans="1:6" ht="120" customHeight="1" thickBot="1" x14ac:dyDescent="0.3">
      <c r="A91" s="215">
        <v>78</v>
      </c>
      <c r="B91" s="170" t="s">
        <v>1438</v>
      </c>
      <c r="C91" s="175" t="s">
        <v>375</v>
      </c>
      <c r="D91" s="147">
        <v>0.35</v>
      </c>
      <c r="E91" s="110">
        <v>0.2</v>
      </c>
      <c r="F91" s="6" t="s">
        <v>1043</v>
      </c>
    </row>
    <row r="92" spans="1:6" ht="120" customHeight="1" thickBot="1" x14ac:dyDescent="0.3">
      <c r="A92" s="215">
        <v>79</v>
      </c>
      <c r="B92" s="170" t="s">
        <v>1439</v>
      </c>
      <c r="C92" s="175" t="s">
        <v>691</v>
      </c>
      <c r="D92" s="147">
        <v>0.35</v>
      </c>
      <c r="E92" s="110">
        <v>0.2</v>
      </c>
      <c r="F92" s="6" t="s">
        <v>1044</v>
      </c>
    </row>
    <row r="93" spans="1:6" ht="120" customHeight="1" thickBot="1" x14ac:dyDescent="0.3">
      <c r="A93" s="215">
        <v>80</v>
      </c>
      <c r="B93" s="170" t="s">
        <v>1440</v>
      </c>
      <c r="C93" s="175" t="s">
        <v>692</v>
      </c>
      <c r="D93" s="147">
        <v>0.35</v>
      </c>
      <c r="E93" s="110">
        <v>0.2</v>
      </c>
      <c r="F93" s="6" t="s">
        <v>1045</v>
      </c>
    </row>
    <row r="94" spans="1:6" ht="25.5" customHeight="1" thickBot="1" x14ac:dyDescent="0.3">
      <c r="A94" s="215">
        <v>81</v>
      </c>
      <c r="B94" s="149" t="s">
        <v>1441</v>
      </c>
      <c r="C94" s="174" t="s">
        <v>428</v>
      </c>
      <c r="D94" s="110">
        <v>0.15</v>
      </c>
      <c r="E94" s="110">
        <v>0.2</v>
      </c>
      <c r="F94" s="6" t="s">
        <v>1047</v>
      </c>
    </row>
    <row r="95" spans="1:6" ht="25.5" customHeight="1" thickBot="1" x14ac:dyDescent="0.3">
      <c r="A95" s="215">
        <v>82</v>
      </c>
      <c r="B95" s="150" t="s">
        <v>1442</v>
      </c>
      <c r="C95" s="176" t="s">
        <v>429</v>
      </c>
      <c r="D95" s="111">
        <v>0.25</v>
      </c>
      <c r="E95" s="111">
        <v>0.2</v>
      </c>
      <c r="F95" s="14" t="s">
        <v>1047</v>
      </c>
    </row>
    <row r="99" spans="2:2" x14ac:dyDescent="0.25">
      <c r="B99" t="s">
        <v>720</v>
      </c>
    </row>
  </sheetData>
  <mergeCells count="4">
    <mergeCell ref="F1:F7"/>
    <mergeCell ref="A1:E6"/>
    <mergeCell ref="A7:E7"/>
    <mergeCell ref="B9:F9"/>
  </mergeCell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>
    <oddHeader>&amp;F</oddHeader>
    <oddFooter>&amp;CМодули расширений;Страница  &amp;P из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H22"/>
  <sheetViews>
    <sheetView showGridLines="0" showRowColHeaders="0" zoomScale="85" zoomScaleNormal="85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B14" sqref="B14"/>
    </sheetView>
  </sheetViews>
  <sheetFormatPr defaultRowHeight="15" x14ac:dyDescent="0.25"/>
  <cols>
    <col min="1" max="1" width="5" customWidth="1"/>
    <col min="2" max="2" width="100.7109375" customWidth="1"/>
    <col min="3" max="3" width="12.140625" customWidth="1"/>
    <col min="4" max="4" width="15.7109375" customWidth="1"/>
    <col min="5" max="5" width="11.42578125" customWidth="1"/>
    <col min="6" max="6" width="58" customWidth="1"/>
    <col min="7" max="7" width="14" customWidth="1"/>
    <col min="8" max="8" width="14" style="81" customWidth="1"/>
    <col min="9" max="9" width="57.5703125" customWidth="1"/>
  </cols>
  <sheetData>
    <row r="1" spans="1:8" ht="15" customHeight="1" x14ac:dyDescent="0.25">
      <c r="A1" s="474" t="s">
        <v>1685</v>
      </c>
      <c r="B1" s="480"/>
      <c r="C1" s="480"/>
      <c r="D1" s="480"/>
      <c r="E1" s="481"/>
      <c r="F1" s="449" t="s">
        <v>40</v>
      </c>
      <c r="H1"/>
    </row>
    <row r="2" spans="1:8" x14ac:dyDescent="0.25">
      <c r="A2" s="480"/>
      <c r="B2" s="480"/>
      <c r="C2" s="480"/>
      <c r="D2" s="480"/>
      <c r="E2" s="481"/>
      <c r="F2" s="449"/>
      <c r="H2"/>
    </row>
    <row r="3" spans="1:8" x14ac:dyDescent="0.25">
      <c r="A3" s="480"/>
      <c r="B3" s="480"/>
      <c r="C3" s="480"/>
      <c r="D3" s="480"/>
      <c r="E3" s="481"/>
      <c r="F3" s="449"/>
      <c r="H3"/>
    </row>
    <row r="4" spans="1:8" ht="15.75" customHeight="1" x14ac:dyDescent="0.25">
      <c r="A4" s="480"/>
      <c r="B4" s="480"/>
      <c r="C4" s="480"/>
      <c r="D4" s="480"/>
      <c r="E4" s="481"/>
      <c r="F4" s="449"/>
      <c r="H4"/>
    </row>
    <row r="5" spans="1:8" x14ac:dyDescent="0.25">
      <c r="A5" s="480"/>
      <c r="B5" s="480"/>
      <c r="C5" s="480"/>
      <c r="D5" s="480"/>
      <c r="E5" s="481"/>
      <c r="F5" s="449"/>
      <c r="H5"/>
    </row>
    <row r="6" spans="1:8" ht="15.75" customHeight="1" x14ac:dyDescent="0.25">
      <c r="A6" s="480"/>
      <c r="B6" s="480"/>
      <c r="C6" s="480"/>
      <c r="D6" s="480"/>
      <c r="E6" s="481"/>
      <c r="F6" s="449"/>
      <c r="H6"/>
    </row>
    <row r="7" spans="1:8" ht="16.5" customHeight="1" thickBot="1" x14ac:dyDescent="0.3">
      <c r="A7" s="453" t="str">
        <f>'Diamond ACS'!A7:G7</f>
        <v>Срок действия: с 01.01.21</v>
      </c>
      <c r="B7" s="453"/>
      <c r="C7" s="453"/>
      <c r="D7" s="453"/>
      <c r="E7" s="454"/>
      <c r="F7" s="450"/>
      <c r="H7"/>
    </row>
    <row r="8" spans="1:8" ht="39" thickBot="1" x14ac:dyDescent="0.3">
      <c r="A8" s="29" t="s">
        <v>13</v>
      </c>
      <c r="B8" s="27" t="s">
        <v>0</v>
      </c>
      <c r="C8" s="28" t="s">
        <v>1</v>
      </c>
      <c r="D8" s="28" t="s">
        <v>2</v>
      </c>
      <c r="E8" s="28" t="s">
        <v>3</v>
      </c>
      <c r="F8" s="80" t="s">
        <v>828</v>
      </c>
      <c r="H8"/>
    </row>
    <row r="9" spans="1:8" ht="24.75" customHeight="1" thickBot="1" x14ac:dyDescent="0.3">
      <c r="A9" s="66"/>
      <c r="B9" s="455" t="s">
        <v>899</v>
      </c>
      <c r="C9" s="444"/>
      <c r="D9" s="444"/>
      <c r="E9" s="444"/>
      <c r="F9" s="445"/>
      <c r="H9"/>
    </row>
    <row r="10" spans="1:8" ht="25.5" customHeight="1" thickBot="1" x14ac:dyDescent="0.3">
      <c r="A10" s="415">
        <v>1</v>
      </c>
      <c r="B10" s="416" t="s">
        <v>941</v>
      </c>
      <c r="C10" s="314" t="s">
        <v>356</v>
      </c>
      <c r="D10" s="417">
        <f>ROUNDUP(105000*1.04,0)</f>
        <v>109200</v>
      </c>
      <c r="E10" s="33" t="s">
        <v>4</v>
      </c>
      <c r="F10" s="418"/>
      <c r="H10"/>
    </row>
    <row r="11" spans="1:8" ht="26.25" thickBot="1" x14ac:dyDescent="0.3">
      <c r="A11" s="415">
        <v>2</v>
      </c>
      <c r="B11" s="287" t="s">
        <v>940</v>
      </c>
      <c r="C11" s="207" t="s">
        <v>357</v>
      </c>
      <c r="D11" s="288">
        <f>ROUNDUP(D10*2.4,0)</f>
        <v>262080</v>
      </c>
      <c r="E11" s="24" t="s">
        <v>4</v>
      </c>
      <c r="F11" s="209"/>
      <c r="H11"/>
    </row>
    <row r="12" spans="1:8" ht="26.25" thickBot="1" x14ac:dyDescent="0.3">
      <c r="A12" s="415">
        <v>3</v>
      </c>
      <c r="B12" s="287" t="s">
        <v>942</v>
      </c>
      <c r="C12" s="207" t="s">
        <v>358</v>
      </c>
      <c r="D12" s="288">
        <f>ROUNDUP(84000*1.04,0)</f>
        <v>87360</v>
      </c>
      <c r="E12" s="24" t="s">
        <v>4</v>
      </c>
      <c r="F12" s="209"/>
      <c r="H12"/>
    </row>
    <row r="13" spans="1:8" ht="26.25" thickBot="1" x14ac:dyDescent="0.3">
      <c r="A13" s="415">
        <v>4</v>
      </c>
      <c r="B13" s="287" t="s">
        <v>943</v>
      </c>
      <c r="C13" s="207" t="s">
        <v>359</v>
      </c>
      <c r="D13" s="288">
        <f>ROUNDUP(D12*2.4,0)</f>
        <v>209664</v>
      </c>
      <c r="E13" s="24" t="s">
        <v>4</v>
      </c>
      <c r="F13" s="209"/>
      <c r="H13"/>
    </row>
    <row r="14" spans="1:8" ht="26.25" thickBot="1" x14ac:dyDescent="0.3">
      <c r="A14" s="415">
        <v>5</v>
      </c>
      <c r="B14" s="287" t="s">
        <v>944</v>
      </c>
      <c r="C14" s="207" t="s">
        <v>360</v>
      </c>
      <c r="D14" s="288">
        <f>ROUNDUP(39000*1.04,0)</f>
        <v>40560</v>
      </c>
      <c r="E14" s="24" t="s">
        <v>4</v>
      </c>
      <c r="F14" s="209"/>
      <c r="H14"/>
    </row>
    <row r="15" spans="1:8" ht="26.25" thickBot="1" x14ac:dyDescent="0.3">
      <c r="A15" s="415">
        <v>6</v>
      </c>
      <c r="B15" s="287" t="s">
        <v>945</v>
      </c>
      <c r="C15" s="207" t="s">
        <v>361</v>
      </c>
      <c r="D15" s="288">
        <f>ROUNDUP(D14*2.4,0)</f>
        <v>97344</v>
      </c>
      <c r="E15" s="24" t="s">
        <v>4</v>
      </c>
      <c r="F15" s="209"/>
      <c r="H15"/>
    </row>
    <row r="16" spans="1:8" ht="26.25" thickBot="1" x14ac:dyDescent="0.3">
      <c r="A16" s="415">
        <v>7</v>
      </c>
      <c r="B16" s="180" t="s">
        <v>946</v>
      </c>
      <c r="C16" s="176" t="s">
        <v>362</v>
      </c>
      <c r="D16" s="181">
        <f>ROUNDUP(15000*1.04,0)</f>
        <v>15600</v>
      </c>
      <c r="E16" s="60" t="s">
        <v>4</v>
      </c>
      <c r="F16" s="109"/>
      <c r="H16"/>
    </row>
    <row r="17" spans="2:8" x14ac:dyDescent="0.25">
      <c r="D17" s="81"/>
    </row>
    <row r="19" spans="2:8" x14ac:dyDescent="0.25">
      <c r="H19" s="82"/>
    </row>
    <row r="22" spans="2:8" x14ac:dyDescent="0.25">
      <c r="B22" t="s">
        <v>720</v>
      </c>
    </row>
  </sheetData>
  <mergeCells count="4">
    <mergeCell ref="F1:F7"/>
    <mergeCell ref="A1:E6"/>
    <mergeCell ref="A7:E7"/>
    <mergeCell ref="B9:F9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Header>&amp;F</oddHeader>
    <oddFooter>&amp;CБазы СОВ;Страница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Diamond ACS</vt:lpstr>
      <vt:lpstr>Diamond VPN FW - UTM</vt:lpstr>
      <vt:lpstr>Diamond VPN FW - VPN</vt:lpstr>
      <vt:lpstr>Diamond VPN FW - FW</vt:lpstr>
      <vt:lpstr>Diamond VPN FW - IDS</vt:lpstr>
      <vt:lpstr>Diamond NCC</vt:lpstr>
      <vt:lpstr>Dcrypt</vt:lpstr>
      <vt:lpstr>Модули расширений</vt:lpstr>
      <vt:lpstr>Базы IDS</vt:lpstr>
      <vt:lpstr>Услуги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Nikita</cp:lastModifiedBy>
  <cp:lastPrinted>2020-09-22T11:13:57Z</cp:lastPrinted>
  <dcterms:created xsi:type="dcterms:W3CDTF">2018-07-11T08:57:46Z</dcterms:created>
  <dcterms:modified xsi:type="dcterms:W3CDTF">2021-03-24T08:35:02Z</dcterms:modified>
</cp:coreProperties>
</file>